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45751842\Desktop\Yojany\Tarifario\Cambio PASIVOS - Personas\DPO\febrero 2023\"/>
    </mc:Choice>
  </mc:AlternateContent>
  <xr:revisionPtr revIDLastSave="0" documentId="13_ncr:1_{047A97F6-B410-490A-8FC6-87CB9261D4D5}" xr6:coauthVersionLast="47" xr6:coauthVersionMax="47" xr10:uidLastSave="{00000000-0000-0000-0000-000000000000}"/>
  <workbookProtection workbookAlgorithmName="SHA-512" workbookHashValue="HELf4bb23LW7kdgwf0zxQ1d+F2CFSpEqXnG6OAoZroKAR0h6+cmJdWh0cUTvKYpof18GtWqK2wbRUYd0NjFMrQ==" workbookSaltValue="gyiz6hHM3x64IOA/lv663g==" workbookSpinCount="100000" lockStructure="1"/>
  <bookViews>
    <workbookView xWindow="-120" yWindow="-120" windowWidth="21840" windowHeight="13140" xr2:uid="{00000000-000D-0000-FFFF-FFFF00000000}"/>
  </bookViews>
  <sheets>
    <sheet name="TRIMESTRAL - Soles" sheetId="2" r:id="rId1"/>
    <sheet name="SEMESTRAL - Soles" sheetId="4" r:id="rId2"/>
    <sheet name="TRIMESTRAL - Dólar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5" l="1"/>
  <c r="Z23" i="5" s="1"/>
  <c r="D13" i="5" s="1"/>
  <c r="W47" i="4"/>
  <c r="W23" i="4"/>
  <c r="Y49" i="2"/>
  <c r="Y23" i="2"/>
  <c r="C26" i="5"/>
  <c r="C25" i="5"/>
  <c r="C24" i="5"/>
  <c r="C23" i="5"/>
  <c r="Y26" i="5"/>
  <c r="Y25" i="5"/>
  <c r="Y24" i="5"/>
  <c r="Z24" i="5" s="1"/>
  <c r="E13" i="5" s="1"/>
  <c r="W24" i="5"/>
  <c r="W25" i="5" s="1"/>
  <c r="G11" i="5"/>
  <c r="G19" i="5" s="1"/>
  <c r="F11" i="5"/>
  <c r="F19" i="5" s="1"/>
  <c r="E11" i="5"/>
  <c r="E19" i="5" s="1"/>
  <c r="D11" i="5"/>
  <c r="D19" i="5" s="1"/>
  <c r="D22" i="5" l="1"/>
  <c r="D26" i="5" s="1"/>
  <c r="E22" i="5"/>
  <c r="E24" i="5" s="1"/>
  <c r="Z26" i="5"/>
  <c r="G13" i="5" s="1"/>
  <c r="G22" i="5" s="1"/>
  <c r="G26" i="5" s="1"/>
  <c r="W26" i="5"/>
  <c r="Z25" i="5"/>
  <c r="F13" i="5" s="1"/>
  <c r="F22" i="5" s="1"/>
  <c r="D16" i="5"/>
  <c r="E16" i="5" s="1"/>
  <c r="F16" i="5" s="1"/>
  <c r="G16" i="5" s="1"/>
  <c r="E26" i="5" l="1"/>
  <c r="E25" i="5"/>
  <c r="D23" i="5"/>
  <c r="D24" i="5"/>
  <c r="D25" i="5"/>
  <c r="F26" i="5"/>
  <c r="F25" i="5"/>
  <c r="Z23" i="2" l="1"/>
  <c r="W24" i="2"/>
  <c r="W25" i="2" s="1"/>
  <c r="Y24" i="2"/>
  <c r="Z24" i="2" s="1"/>
  <c r="Y25" i="2"/>
  <c r="Z25" i="2" l="1"/>
  <c r="Y52" i="2"/>
  <c r="Y51" i="2"/>
  <c r="Y26" i="2"/>
  <c r="C50" i="4" l="1"/>
  <c r="C49" i="4"/>
  <c r="C48" i="4"/>
  <c r="C47" i="4"/>
  <c r="W50" i="4"/>
  <c r="W49" i="4"/>
  <c r="W48" i="4"/>
  <c r="X48" i="4" s="1"/>
  <c r="E37" i="4" s="1"/>
  <c r="U48" i="4"/>
  <c r="U49" i="4" s="1"/>
  <c r="U50" i="4" s="1"/>
  <c r="X47" i="4"/>
  <c r="D37" i="4" s="1"/>
  <c r="G35" i="4"/>
  <c r="G43" i="4" s="1"/>
  <c r="F35" i="4"/>
  <c r="F43" i="4" s="1"/>
  <c r="E35" i="4"/>
  <c r="E43" i="4" s="1"/>
  <c r="D35" i="4"/>
  <c r="C24" i="4"/>
  <c r="C23" i="4"/>
  <c r="W24" i="4"/>
  <c r="X24" i="4" s="1"/>
  <c r="E13" i="4" s="1"/>
  <c r="U24" i="4"/>
  <c r="X23" i="4"/>
  <c r="D13" i="4" s="1"/>
  <c r="E11" i="4"/>
  <c r="E19" i="4" s="1"/>
  <c r="D11" i="4"/>
  <c r="D16" i="4" s="1"/>
  <c r="C52" i="2"/>
  <c r="C51" i="2"/>
  <c r="C50" i="2"/>
  <c r="C49" i="2"/>
  <c r="Y50" i="2"/>
  <c r="Z50" i="2" s="1"/>
  <c r="E39" i="2" s="1"/>
  <c r="W50" i="2"/>
  <c r="Z51" i="2" s="1"/>
  <c r="F39" i="2" s="1"/>
  <c r="Z49" i="2"/>
  <c r="D39" i="2" s="1"/>
  <c r="AA51" i="2"/>
  <c r="Y53" i="2" s="1"/>
  <c r="G37" i="2"/>
  <c r="G45" i="2" s="1"/>
  <c r="F37" i="2"/>
  <c r="F45" i="2" s="1"/>
  <c r="E37" i="2"/>
  <c r="E45" i="2" s="1"/>
  <c r="D37" i="2"/>
  <c r="C26" i="2"/>
  <c r="C25" i="2"/>
  <c r="C24" i="2"/>
  <c r="C23" i="2"/>
  <c r="F13" i="2"/>
  <c r="E13" i="2"/>
  <c r="D13" i="2"/>
  <c r="G11" i="2"/>
  <c r="G19" i="2" s="1"/>
  <c r="F11" i="2"/>
  <c r="F19" i="2" s="1"/>
  <c r="E11" i="2"/>
  <c r="E19" i="2" s="1"/>
  <c r="D11" i="2"/>
  <c r="F22" i="2" l="1"/>
  <c r="F25" i="2" s="1"/>
  <c r="D22" i="2"/>
  <c r="D23" i="2" s="1"/>
  <c r="E22" i="2"/>
  <c r="E26" i="2" s="1"/>
  <c r="C56" i="2"/>
  <c r="D48" i="2"/>
  <c r="D49" i="2" s="1"/>
  <c r="C54" i="2"/>
  <c r="F48" i="2"/>
  <c r="F54" i="2" s="1"/>
  <c r="C55" i="2"/>
  <c r="E48" i="2"/>
  <c r="E51" i="2" s="1"/>
  <c r="D46" i="4"/>
  <c r="D47" i="4" s="1"/>
  <c r="D22" i="4"/>
  <c r="D23" i="4" s="1"/>
  <c r="C53" i="2"/>
  <c r="E22" i="4"/>
  <c r="E24" i="4" s="1"/>
  <c r="E46" i="4"/>
  <c r="E48" i="4" s="1"/>
  <c r="D43" i="4"/>
  <c r="D40" i="4"/>
  <c r="E40" i="4" s="1"/>
  <c r="F40" i="4" s="1"/>
  <c r="G40" i="4" s="1"/>
  <c r="D45" i="2"/>
  <c r="D42" i="2"/>
  <c r="E42" i="2" s="1"/>
  <c r="F42" i="2" s="1"/>
  <c r="G42" i="2" s="1"/>
  <c r="E16" i="4"/>
  <c r="D19" i="2"/>
  <c r="D16" i="2"/>
  <c r="E16" i="2" s="1"/>
  <c r="F16" i="2" s="1"/>
  <c r="G16" i="2" s="1"/>
  <c r="X49" i="4"/>
  <c r="F37" i="4" s="1"/>
  <c r="F46" i="4" s="1"/>
  <c r="F49" i="4" s="1"/>
  <c r="X50" i="4"/>
  <c r="G37" i="4" s="1"/>
  <c r="G46" i="4" s="1"/>
  <c r="G50" i="4" s="1"/>
  <c r="H37" i="2"/>
  <c r="H45" i="2" s="1"/>
  <c r="W51" i="2"/>
  <c r="AB51" i="2"/>
  <c r="Z26" i="2"/>
  <c r="G13" i="2" s="1"/>
  <c r="G22" i="2" s="1"/>
  <c r="G26" i="2" s="1"/>
  <c r="W26" i="2"/>
  <c r="D19" i="4"/>
  <c r="E24" i="2" l="1"/>
  <c r="F26" i="2"/>
  <c r="E50" i="2"/>
  <c r="F51" i="2"/>
  <c r="H42" i="2"/>
  <c r="W52" i="2"/>
  <c r="Z52" i="2"/>
  <c r="G39" i="2" s="1"/>
  <c r="G48" i="2" s="1"/>
  <c r="G52" i="2" s="1"/>
  <c r="Y54" i="2"/>
  <c r="AA52" i="2"/>
  <c r="J37" i="2" s="1"/>
  <c r="J45" i="2" s="1"/>
  <c r="I37" i="2"/>
  <c r="I45" i="2" s="1"/>
  <c r="D24" i="4"/>
  <c r="E50" i="4"/>
  <c r="E49" i="4"/>
  <c r="D48" i="4"/>
  <c r="D50" i="4"/>
  <c r="D49" i="4"/>
  <c r="F50" i="4"/>
  <c r="D25" i="2"/>
  <c r="E25" i="2"/>
  <c r="E54" i="2"/>
  <c r="E53" i="2"/>
  <c r="D52" i="2"/>
  <c r="D51" i="2"/>
  <c r="E52" i="2"/>
  <c r="D50" i="2"/>
  <c r="E56" i="2"/>
  <c r="D54" i="2"/>
  <c r="F56" i="2"/>
  <c r="F52" i="2"/>
  <c r="E55" i="2"/>
  <c r="D56" i="2"/>
  <c r="D55" i="2"/>
  <c r="F53" i="2"/>
  <c r="F55" i="2"/>
  <c r="D53" i="2"/>
  <c r="D26" i="2"/>
  <c r="D24" i="2"/>
  <c r="G54" i="2" l="1"/>
  <c r="I42" i="2"/>
  <c r="J42" i="2" s="1"/>
  <c r="G56" i="2"/>
  <c r="W53" i="2"/>
  <c r="Z53" i="2"/>
  <c r="H39" i="2" s="1"/>
  <c r="H48" i="2" s="1"/>
  <c r="H53" i="2" s="1"/>
  <c r="Y55" i="2"/>
  <c r="AB52" i="2"/>
  <c r="Y56" i="2" s="1"/>
  <c r="H56" i="2" l="1"/>
  <c r="G53" i="2"/>
  <c r="G55" i="2"/>
  <c r="W54" i="2"/>
  <c r="W55" i="2" s="1"/>
  <c r="Z56" i="2" s="1"/>
  <c r="K39" i="2" s="1"/>
  <c r="Z54" i="2"/>
  <c r="I39" i="2" s="1"/>
  <c r="I48" i="2" s="1"/>
  <c r="I54" i="2" s="1"/>
  <c r="H55" i="2"/>
  <c r="K37" i="2"/>
  <c r="K45" i="2" s="1"/>
  <c r="K48" i="2" l="1"/>
  <c r="K56" i="2" s="1"/>
  <c r="K42" i="2"/>
  <c r="H54" i="2"/>
  <c r="I56" i="2"/>
  <c r="W56" i="2"/>
  <c r="Z55" i="2"/>
  <c r="J39" i="2" s="1"/>
  <c r="J48" i="2" s="1"/>
  <c r="J55" i="2" s="1"/>
  <c r="J56" i="2" l="1"/>
  <c r="I55" i="2"/>
</calcChain>
</file>

<file path=xl/sharedStrings.xml><?xml version="1.0" encoding="utf-8"?>
<sst xmlns="http://schemas.openxmlformats.org/spreadsheetml/2006/main" count="140" uniqueCount="42">
  <si>
    <t>Plazo</t>
  </si>
  <si>
    <t>1 año</t>
  </si>
  <si>
    <t>2 años</t>
  </si>
  <si>
    <t>Plazo días</t>
  </si>
  <si>
    <t>DPO</t>
  </si>
  <si>
    <t>Fechas</t>
  </si>
  <si>
    <t xml:space="preserve">Tramo </t>
  </si>
  <si>
    <t>Trimestral</t>
  </si>
  <si>
    <t>Apertura</t>
  </si>
  <si>
    <t>Tramo 1</t>
  </si>
  <si>
    <t>Tramo 2</t>
  </si>
  <si>
    <t>Tramo 3</t>
  </si>
  <si>
    <t>Tramo 4</t>
  </si>
  <si>
    <t>Fecha Vencimiento</t>
  </si>
  <si>
    <t>Tramo 5</t>
  </si>
  <si>
    <t>Tramo 6</t>
  </si>
  <si>
    <t>Tramo 7</t>
  </si>
  <si>
    <t>Tramo 8</t>
  </si>
  <si>
    <t>Semestral</t>
  </si>
  <si>
    <t>Permanencia</t>
  </si>
  <si>
    <t>DPO SEMESTRAL 360d</t>
  </si>
  <si>
    <t>Ejerc</t>
  </si>
  <si>
    <t>Tasa</t>
  </si>
  <si>
    <t>DPO SEMESTRAL 720d</t>
  </si>
  <si>
    <t>Tarifario</t>
  </si>
  <si>
    <t>DPO TRIMESTRAL 360d</t>
  </si>
  <si>
    <t>DPO TRIMESTRAL 720d</t>
  </si>
  <si>
    <t>Plazo máximo 360 días</t>
  </si>
  <si>
    <t>Plazo máximo 720 días</t>
  </si>
  <si>
    <t>Plazo máximo 360 dias</t>
  </si>
  <si>
    <t>Plazo máximo 720 dias</t>
  </si>
  <si>
    <t>Intereses</t>
  </si>
  <si>
    <t>Capital</t>
  </si>
  <si>
    <t>Depósito / Intereses (**)</t>
  </si>
  <si>
    <t>TEA (*)</t>
  </si>
  <si>
    <t>Depósito a Plazo Opción TRIMESTRAL - 1 AÑO</t>
  </si>
  <si>
    <t>Depósito a Plazo Opción TRIMESTRAL - 2 AÑOS</t>
  </si>
  <si>
    <t>Depósito a Plazo Opción SEMESTRAL - 1 AÑO</t>
  </si>
  <si>
    <t>Depósito a Plazo Opción SEMESTRAL - 2 AÑOS</t>
  </si>
  <si>
    <t xml:space="preserve">(**) La información contenida en este documento es referencial en base a los datos ingresados, por lo que, está sujeta a variaciones y podría no coincidir con aquello que se muestre en el cronograma definitivo. Asimismo, no representa compromiso u obligación de alguna naturaleza a cargo de Banco GNB Perú S.A.                                                                       </t>
  </si>
  <si>
    <t>(*) Tasa de interés Efectiva Anual. Para más información sobre tasas, comisiones y gastos, consulte nuestro tarifario y demás condiciones aplicables en www.bancognb.com.pe (Sección Banca Personas – Depósitos-Depósito a Plazo Opción) o visite nuestras agencias.                                                                                                                                            </t>
  </si>
  <si>
    <t>OP004 v.07 – 03/2023.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</si>
</sst>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_ ;_ * \-#,##0.0_ ;_ * &quot;-&quot;??_ ;_ @_ "/>
    <numFmt numFmtId="165" formatCode="_ * #,##0.000000_ ;_ * \-#,##0.000000_ ;_ * &quot;-&quot;??_ ;_ @_ "/>
    <numFmt numFmtId="166" formatCode="_-[$$-540A]* #,##0.0_ ;_-[$$-540A]* \-#,##0.0\ ;_-[$$-540A]* &quot;-&quot;?_ ;_-@_ "/>
    <numFmt numFmtId="167" formatCode="_-[$S/-280A]* #,##0.0_-;\-[$S/-280A]* #,##0.0_-;_-[$S/-280A]* &quot;-&quot;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24994659260841701"/>
        <bgColor theme="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89">
    <xf numFmtId="0" fontId="0" fillId="0" borderId="0" xfId="0"/>
    <xf numFmtId="164" fontId="0" fillId="2" borderId="6" xfId="1" applyNumberFormat="1" applyFont="1" applyFill="1" applyBorder="1" applyAlignment="1">
      <alignment vertical="center" wrapText="1"/>
    </xf>
    <xf numFmtId="164" fontId="0" fillId="2" borderId="0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0" fontId="3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4" fontId="3" fillId="2" borderId="6" xfId="0" applyNumberFormat="1" applyFont="1" applyFill="1" applyBorder="1" applyAlignment="1">
      <alignment vertical="center"/>
    </xf>
    <xf numFmtId="14" fontId="3" fillId="2" borderId="0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164" fontId="3" fillId="2" borderId="6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7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8" fillId="4" borderId="1" xfId="3" applyFont="1" applyFill="1" applyBorder="1" applyAlignment="1">
      <alignment horizontal="center" vertical="center"/>
    </xf>
    <xf numFmtId="10" fontId="8" fillId="4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10" fontId="7" fillId="0" borderId="1" xfId="3" applyNumberFormat="1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10" fontId="7" fillId="6" borderId="1" xfId="3" applyNumberFormat="1" applyFont="1" applyFill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0" fontId="3" fillId="2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left" vertical="center"/>
      <protection hidden="1"/>
    </xf>
    <xf numFmtId="10" fontId="3" fillId="0" borderId="1" xfId="0" applyNumberFormat="1" applyFont="1" applyFill="1" applyBorder="1" applyAlignment="1" applyProtection="1">
      <alignment horizontal="center" vertical="center"/>
      <protection hidden="1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0" fontId="3" fillId="2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1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0" fillId="2" borderId="7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9" fontId="0" fillId="0" borderId="0" xfId="0" applyNumberFormat="1" applyAlignment="1" applyProtection="1">
      <alignment vertical="center"/>
      <protection hidden="1"/>
    </xf>
    <xf numFmtId="10" fontId="0" fillId="0" borderId="0" xfId="2" applyNumberFormat="1" applyFont="1" applyAlignment="1" applyProtection="1">
      <alignment vertical="center"/>
      <protection hidden="1"/>
    </xf>
    <xf numFmtId="165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66" fontId="3" fillId="4" borderId="1" xfId="1" applyNumberFormat="1" applyFont="1" applyFill="1" applyBorder="1" applyAlignment="1" applyProtection="1">
      <alignment vertical="center" wrapText="1"/>
      <protection locked="0"/>
    </xf>
    <xf numFmtId="166" fontId="0" fillId="2" borderId="1" xfId="1" applyNumberFormat="1" applyFont="1" applyFill="1" applyBorder="1" applyAlignment="1" applyProtection="1">
      <alignment vertical="center" wrapText="1"/>
      <protection hidden="1"/>
    </xf>
    <xf numFmtId="166" fontId="3" fillId="2" borderId="1" xfId="0" applyNumberFormat="1" applyFont="1" applyFill="1" applyBorder="1" applyAlignment="1" applyProtection="1">
      <alignment vertical="center"/>
      <protection hidden="1"/>
    </xf>
    <xf numFmtId="166" fontId="3" fillId="3" borderId="1" xfId="0" applyNumberFormat="1" applyFont="1" applyFill="1" applyBorder="1" applyAlignment="1" applyProtection="1">
      <alignment vertical="center"/>
      <protection hidden="1"/>
    </xf>
    <xf numFmtId="167" fontId="3" fillId="4" borderId="1" xfId="1" applyNumberFormat="1" applyFont="1" applyFill="1" applyBorder="1" applyAlignment="1" applyProtection="1">
      <alignment vertical="center" wrapText="1"/>
      <protection locked="0"/>
    </xf>
    <xf numFmtId="167" fontId="0" fillId="2" borderId="1" xfId="1" applyNumberFormat="1" applyFont="1" applyFill="1" applyBorder="1" applyAlignment="1" applyProtection="1">
      <alignment vertical="center" wrapText="1"/>
      <protection hidden="1"/>
    </xf>
    <xf numFmtId="167" fontId="3" fillId="2" borderId="1" xfId="0" applyNumberFormat="1" applyFont="1" applyFill="1" applyBorder="1" applyAlignment="1" applyProtection="1">
      <alignment vertical="center"/>
      <protection hidden="1"/>
    </xf>
    <xf numFmtId="167" fontId="3" fillId="3" borderId="1" xfId="0" applyNumberFormat="1" applyFont="1" applyFill="1" applyBorder="1" applyAlignment="1" applyProtection="1">
      <alignment vertical="center"/>
      <protection hidden="1"/>
    </xf>
    <xf numFmtId="167" fontId="0" fillId="2" borderId="1" xfId="1" applyNumberFormat="1" applyFont="1" applyFill="1" applyBorder="1" applyAlignment="1" applyProtection="1">
      <alignment horizontal="center" vertical="center"/>
      <protection hidden="1"/>
    </xf>
    <xf numFmtId="167" fontId="3" fillId="5" borderId="1" xfId="0" applyNumberFormat="1" applyFont="1" applyFill="1" applyBorder="1" applyAlignment="1" applyProtection="1">
      <alignment vertical="center"/>
      <protection hidden="1"/>
    </xf>
    <xf numFmtId="167" fontId="0" fillId="2" borderId="1" xfId="0" applyNumberFormat="1" applyFont="1" applyFill="1" applyBorder="1" applyAlignment="1" applyProtection="1">
      <alignment vertical="center"/>
      <protection hidden="1"/>
    </xf>
    <xf numFmtId="167" fontId="0" fillId="5" borderId="1" xfId="0" applyNumberFormat="1" applyFont="1" applyFill="1" applyBorder="1" applyAlignment="1" applyProtection="1">
      <alignment vertical="center"/>
      <protection hidden="1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Alignment="1" applyProtection="1">
      <alignment horizontal="left" vertical="center" wrapText="1"/>
      <protection hidden="1"/>
    </xf>
    <xf numFmtId="0" fontId="9" fillId="0" borderId="0" xfId="0" applyFont="1" applyFill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35"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792473</xdr:colOff>
      <xdr:row>3</xdr:row>
      <xdr:rowOff>149423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5117" b="34178"/>
        <a:stretch/>
      </xdr:blipFill>
      <xdr:spPr>
        <a:xfrm>
          <a:off x="76200" y="200025"/>
          <a:ext cx="2764148" cy="549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155377</xdr:rowOff>
    </xdr:from>
    <xdr:to>
      <xdr:col>3</xdr:col>
      <xdr:colOff>592448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5117" b="34178"/>
        <a:stretch/>
      </xdr:blipFill>
      <xdr:spPr>
        <a:xfrm>
          <a:off x="0" y="155377"/>
          <a:ext cx="2764148" cy="5494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792473</xdr:colOff>
      <xdr:row>3</xdr:row>
      <xdr:rowOff>149423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5117" b="34178"/>
        <a:stretch/>
      </xdr:blipFill>
      <xdr:spPr>
        <a:xfrm>
          <a:off x="76200" y="200025"/>
          <a:ext cx="2764148" cy="549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B5:AE65"/>
  <sheetViews>
    <sheetView showGridLines="0" tabSelected="1" zoomScaleNormal="100" workbookViewId="0">
      <selection activeCell="C9" sqref="C9"/>
    </sheetView>
  </sheetViews>
  <sheetFormatPr baseColWidth="10" defaultRowHeight="15.75" customHeight="1" x14ac:dyDescent="0.25"/>
  <cols>
    <col min="1" max="1" width="1.140625" style="3" customWidth="1"/>
    <col min="2" max="2" width="14" style="3" customWidth="1"/>
    <col min="3" max="11" width="15.5703125" style="3" customWidth="1"/>
    <col min="12" max="22" width="11.42578125" style="3" customWidth="1"/>
    <col min="23" max="26" width="8.7109375" style="18" hidden="1" customWidth="1"/>
    <col min="27" max="27" width="4.140625" style="18" hidden="1" customWidth="1"/>
    <col min="28" max="28" width="5.5703125" style="18" hidden="1" customWidth="1"/>
    <col min="29" max="29" width="5.5703125" style="18" customWidth="1"/>
    <col min="30" max="31" width="12.42578125" style="18" customWidth="1"/>
    <col min="32" max="16384" width="11.42578125" style="3"/>
  </cols>
  <sheetData>
    <row r="5" spans="2:31" ht="15.75" customHeight="1" x14ac:dyDescent="0.25">
      <c r="B5" s="31" t="s">
        <v>35</v>
      </c>
      <c r="C5" s="32"/>
      <c r="D5" s="32"/>
      <c r="E5" s="32"/>
      <c r="F5" s="32"/>
      <c r="G5" s="32"/>
    </row>
    <row r="6" spans="2:31" ht="15.75" customHeight="1" x14ac:dyDescent="0.25">
      <c r="B6" s="39"/>
      <c r="C6" s="32"/>
      <c r="D6" s="32"/>
      <c r="E6" s="32"/>
      <c r="F6" s="32"/>
      <c r="G6" s="32"/>
      <c r="W6" s="19"/>
      <c r="X6" s="19"/>
      <c r="Y6" s="19"/>
      <c r="Z6" s="19"/>
      <c r="AA6" s="19"/>
      <c r="AB6" s="19"/>
      <c r="AC6" s="19"/>
      <c r="AD6" s="19"/>
      <c r="AE6" s="19"/>
    </row>
    <row r="7" spans="2:31" ht="15.75" customHeight="1" x14ac:dyDescent="0.25">
      <c r="B7" s="47" t="s">
        <v>0</v>
      </c>
      <c r="C7" s="47" t="s">
        <v>1</v>
      </c>
      <c r="D7" s="32"/>
      <c r="E7" s="32"/>
      <c r="F7" s="32"/>
      <c r="G7" s="32"/>
      <c r="W7" s="19"/>
      <c r="X7" s="19"/>
      <c r="Y7" s="19"/>
      <c r="Z7" s="19"/>
      <c r="AA7" s="19"/>
      <c r="AB7" s="19"/>
      <c r="AC7" s="19"/>
      <c r="AD7" s="19"/>
      <c r="AE7" s="19"/>
    </row>
    <row r="8" spans="2:31" ht="15.75" customHeight="1" x14ac:dyDescent="0.25">
      <c r="B8" s="47" t="s">
        <v>6</v>
      </c>
      <c r="C8" s="47" t="s">
        <v>7</v>
      </c>
      <c r="D8" s="32"/>
      <c r="E8" s="32"/>
      <c r="F8" s="32"/>
      <c r="G8" s="32"/>
      <c r="W8" s="19"/>
      <c r="X8" s="19"/>
      <c r="Y8" s="19"/>
      <c r="Z8" s="19"/>
      <c r="AA8" s="19"/>
      <c r="AB8" s="19"/>
      <c r="AC8" s="19"/>
      <c r="AD8" s="19"/>
      <c r="AE8" s="19"/>
    </row>
    <row r="9" spans="2:31" s="4" customFormat="1" ht="15.75" customHeight="1" x14ac:dyDescent="0.25">
      <c r="B9" s="47" t="s">
        <v>19</v>
      </c>
      <c r="C9" s="30">
        <v>360</v>
      </c>
      <c r="D9" s="75" t="s">
        <v>27</v>
      </c>
      <c r="W9" s="18"/>
      <c r="X9" s="18"/>
      <c r="Y9" s="18"/>
      <c r="Z9" s="18"/>
      <c r="AA9" s="18"/>
      <c r="AB9" s="18"/>
      <c r="AC9" s="18"/>
      <c r="AD9" s="18"/>
      <c r="AE9" s="18"/>
    </row>
    <row r="10" spans="2:31" s="4" customFormat="1" ht="15.75" customHeight="1" x14ac:dyDescent="0.25">
      <c r="B10" s="52"/>
      <c r="W10" s="18"/>
      <c r="X10" s="18"/>
      <c r="Y10" s="18"/>
      <c r="Z10" s="18"/>
      <c r="AA10" s="18"/>
      <c r="AB10" s="18"/>
      <c r="AC10" s="18"/>
      <c r="AD10" s="18"/>
      <c r="AE10" s="18"/>
    </row>
    <row r="11" spans="2:31" ht="15.75" customHeight="1" x14ac:dyDescent="0.25">
      <c r="B11" s="32"/>
      <c r="C11" s="53" t="s">
        <v>3</v>
      </c>
      <c r="D11" s="33">
        <f>+IF(C9&gt;AA23,AA23,C9)</f>
        <v>90</v>
      </c>
      <c r="E11" s="33">
        <f>+IF(AND(C9&gt;AA23,C9&lt;AB23+1),C9,AB23)</f>
        <v>180</v>
      </c>
      <c r="F11" s="33">
        <f>+IF(AND(C9&gt;AB23,C9&lt;AA24+1),C9,AA24)</f>
        <v>270</v>
      </c>
      <c r="G11" s="33">
        <f>+IF(AND(C9&gt;AA24,C9&lt;AB24+1),C9,AB24)</f>
        <v>360</v>
      </c>
      <c r="W11" s="20"/>
      <c r="X11" s="20"/>
    </row>
    <row r="12" spans="2:31" ht="6.75" customHeight="1" x14ac:dyDescent="0.25">
      <c r="B12" s="32"/>
      <c r="C12" s="32"/>
      <c r="D12" s="34"/>
      <c r="E12" s="32"/>
      <c r="F12" s="32"/>
      <c r="G12" s="32"/>
    </row>
    <row r="13" spans="2:31" s="10" customFormat="1" ht="15.75" customHeight="1" x14ac:dyDescent="0.25">
      <c r="B13" s="33" t="s">
        <v>34</v>
      </c>
      <c r="C13" s="35" t="s">
        <v>4</v>
      </c>
      <c r="D13" s="36">
        <f>+Z23</f>
        <v>1.2499999999999999E-2</v>
      </c>
      <c r="E13" s="36">
        <f>+Z24</f>
        <v>1.4999999999999998E-2</v>
      </c>
      <c r="F13" s="36">
        <f>+Z25</f>
        <v>1.7500000000000002E-2</v>
      </c>
      <c r="G13" s="36">
        <f>+Z26</f>
        <v>0.02</v>
      </c>
      <c r="AC13" s="18"/>
      <c r="AD13" s="18"/>
      <c r="AE13" s="18"/>
    </row>
    <row r="14" spans="2:31" ht="6.75" customHeight="1" x14ac:dyDescent="0.25">
      <c r="B14" s="32"/>
      <c r="C14" s="32"/>
      <c r="D14" s="32"/>
      <c r="E14" s="32"/>
      <c r="F14" s="32"/>
      <c r="G14" s="32"/>
    </row>
    <row r="15" spans="2:31" s="4" customFormat="1" ht="15.75" customHeight="1" x14ac:dyDescent="0.25">
      <c r="B15" s="32"/>
      <c r="C15" s="48" t="s">
        <v>8</v>
      </c>
      <c r="D15" s="79" t="s">
        <v>13</v>
      </c>
      <c r="E15" s="80"/>
      <c r="F15" s="80"/>
      <c r="G15" s="81"/>
      <c r="H15" s="3"/>
      <c r="I15" s="3"/>
      <c r="J15" s="3"/>
      <c r="K15" s="3"/>
      <c r="L15" s="3"/>
      <c r="AC15" s="18"/>
      <c r="AD15" s="18"/>
      <c r="AE15" s="18"/>
    </row>
    <row r="16" spans="2:31" ht="15.75" customHeight="1" x14ac:dyDescent="0.25">
      <c r="B16" s="48" t="s">
        <v>5</v>
      </c>
      <c r="C16" s="46">
        <v>45001</v>
      </c>
      <c r="D16" s="37">
        <f>+C16+D11</f>
        <v>45091</v>
      </c>
      <c r="E16" s="37">
        <f>+D16+E11-D11</f>
        <v>45181</v>
      </c>
      <c r="F16" s="37">
        <f t="shared" ref="F16:G16" si="0">+E16+F11-E11</f>
        <v>45271</v>
      </c>
      <c r="G16" s="37">
        <f t="shared" si="0"/>
        <v>45361</v>
      </c>
      <c r="H16" s="29"/>
      <c r="AC16" s="20"/>
      <c r="AD16" s="20"/>
      <c r="AE16" s="20"/>
    </row>
    <row r="17" spans="2:31" ht="6.75" customHeight="1" x14ac:dyDescent="0.25">
      <c r="U17" s="20"/>
      <c r="V17" s="20"/>
      <c r="AC17" s="20"/>
      <c r="AD17" s="3"/>
      <c r="AE17" s="3"/>
    </row>
    <row r="18" spans="2:31" ht="15.75" customHeight="1" x14ac:dyDescent="0.25">
      <c r="D18" s="82" t="s">
        <v>3</v>
      </c>
      <c r="E18" s="82"/>
      <c r="F18" s="82"/>
      <c r="G18" s="82"/>
    </row>
    <row r="19" spans="2:31" ht="15.75" customHeight="1" x14ac:dyDescent="0.25">
      <c r="B19" s="6"/>
      <c r="C19" s="4"/>
      <c r="D19" s="48">
        <f>D11</f>
        <v>90</v>
      </c>
      <c r="E19" s="48">
        <f>E11</f>
        <v>180</v>
      </c>
      <c r="F19" s="48">
        <f>F11</f>
        <v>270</v>
      </c>
      <c r="G19" s="48">
        <f>G11</f>
        <v>360</v>
      </c>
    </row>
    <row r="20" spans="2:31" ht="6.75" customHeight="1" x14ac:dyDescent="0.25">
      <c r="U20" s="20"/>
      <c r="V20" s="20"/>
      <c r="W20" s="20"/>
      <c r="X20" s="20"/>
      <c r="Y20" s="3"/>
      <c r="Z20" s="20"/>
      <c r="AA20" s="20"/>
      <c r="AB20" s="20"/>
      <c r="AC20" s="20"/>
      <c r="AD20" s="3"/>
      <c r="AE20" s="3"/>
    </row>
    <row r="21" spans="2:31" ht="15.75" customHeight="1" x14ac:dyDescent="0.25">
      <c r="B21" s="54"/>
      <c r="C21" s="38" t="s">
        <v>32</v>
      </c>
      <c r="D21" s="79" t="s">
        <v>31</v>
      </c>
      <c r="E21" s="80"/>
      <c r="F21" s="80"/>
      <c r="G21" s="81"/>
      <c r="X21" s="84" t="s">
        <v>25</v>
      </c>
      <c r="Y21" s="85"/>
      <c r="Z21" s="86"/>
    </row>
    <row r="22" spans="2:31" ht="30" x14ac:dyDescent="0.25">
      <c r="B22" s="50" t="s">
        <v>33</v>
      </c>
      <c r="C22" s="67">
        <v>25000</v>
      </c>
      <c r="D22" s="68">
        <f>+$C$22*((1+D13)^(D11/ 360)-1)</f>
        <v>77.761436615825247</v>
      </c>
      <c r="E22" s="68">
        <f>+$C$22*((1+E13)^((E11-D11)/ 360)-1)</f>
        <v>93.227223452324594</v>
      </c>
      <c r="F22" s="68">
        <f>+$C$22*((1+F13)^((F11-E11)/ 360)-1)</f>
        <v>108.66446681803143</v>
      </c>
      <c r="G22" s="68">
        <f>+$C$22*((1+G13)^((G11-F11)/ 360)-1)</f>
        <v>124.07328933009553</v>
      </c>
      <c r="H22" s="15"/>
      <c r="I22" s="15"/>
      <c r="J22" s="15"/>
      <c r="K22" s="15"/>
      <c r="L22" s="15"/>
      <c r="X22" s="23" t="s">
        <v>24</v>
      </c>
      <c r="Y22" s="21" t="s">
        <v>21</v>
      </c>
      <c r="Z22" s="21" t="s">
        <v>22</v>
      </c>
    </row>
    <row r="23" spans="2:31" ht="15.75" customHeight="1" x14ac:dyDescent="0.25">
      <c r="B23" s="47" t="s">
        <v>9</v>
      </c>
      <c r="C23" s="69">
        <f>+C22</f>
        <v>25000</v>
      </c>
      <c r="D23" s="70">
        <f>+C23+D22</f>
        <v>25077.761436615827</v>
      </c>
      <c r="E23" s="72"/>
      <c r="F23" s="72"/>
      <c r="G23" s="72"/>
      <c r="W23" s="27">
        <v>90</v>
      </c>
      <c r="X23" s="24">
        <v>1.2499999999999999E-2</v>
      </c>
      <c r="Y23" s="28">
        <f>+IF(($C$9&lt;$AA$23)*AND($C$9&gt;30),0.5%,IF($C$9&lt;31,0%,$X$23))</f>
        <v>1.2499999999999999E-2</v>
      </c>
      <c r="Z23" s="28">
        <f>+Y23</f>
        <v>1.2499999999999999E-2</v>
      </c>
      <c r="AA23" s="20">
        <v>90</v>
      </c>
      <c r="AB23" s="18">
        <v>180</v>
      </c>
    </row>
    <row r="24" spans="2:31" ht="15.75" customHeight="1" x14ac:dyDescent="0.25">
      <c r="B24" s="47" t="s">
        <v>10</v>
      </c>
      <c r="C24" s="69">
        <f>+C22</f>
        <v>25000</v>
      </c>
      <c r="D24" s="69">
        <f>+D22</f>
        <v>77.761436615825247</v>
      </c>
      <c r="E24" s="70">
        <f>+C24+E22</f>
        <v>25093.227223452326</v>
      </c>
      <c r="F24" s="72"/>
      <c r="G24" s="72"/>
      <c r="W24" s="25">
        <f>+W23+90</f>
        <v>180</v>
      </c>
      <c r="X24" s="24">
        <v>1.4999999999999998E-2</v>
      </c>
      <c r="Y24" s="26">
        <f>IF(($C$9&gt;$AA$23)*AND($C$9&lt;$AB$23),$X$23,$X$24)</f>
        <v>1.4999999999999998E-2</v>
      </c>
      <c r="Z24" s="26">
        <f>+IF(C$9&lt;=W23,0,Y24)</f>
        <v>1.4999999999999998E-2</v>
      </c>
      <c r="AA24" s="18">
        <v>270</v>
      </c>
      <c r="AB24" s="18">
        <v>360</v>
      </c>
    </row>
    <row r="25" spans="2:31" ht="15.75" customHeight="1" x14ac:dyDescent="0.25">
      <c r="B25" s="47" t="s">
        <v>11</v>
      </c>
      <c r="C25" s="69">
        <f>+C22</f>
        <v>25000</v>
      </c>
      <c r="D25" s="69">
        <f>+D22</f>
        <v>77.761436615825247</v>
      </c>
      <c r="E25" s="69">
        <f>+E22</f>
        <v>93.227223452324594</v>
      </c>
      <c r="F25" s="70">
        <f>C25+F22</f>
        <v>25108.664466818031</v>
      </c>
      <c r="G25" s="72"/>
      <c r="W25" s="27">
        <f>+W24+90</f>
        <v>270</v>
      </c>
      <c r="X25" s="24">
        <v>1.7500000000000002E-2</v>
      </c>
      <c r="Y25" s="28">
        <f>IF(($C$9&gt;$AA$23)*AND($C$9&lt;$AA$24),$X$24,$X$25)</f>
        <v>1.7500000000000002E-2</v>
      </c>
      <c r="Z25" s="28">
        <f>+IF(C$9&lt;=W24,0,Y25)</f>
        <v>1.7500000000000002E-2</v>
      </c>
      <c r="AA25" s="20"/>
      <c r="AB25" s="20"/>
    </row>
    <row r="26" spans="2:31" s="15" customFormat="1" ht="15" x14ac:dyDescent="0.25">
      <c r="B26" s="47" t="s">
        <v>12</v>
      </c>
      <c r="C26" s="69">
        <f>+C22</f>
        <v>25000</v>
      </c>
      <c r="D26" s="69">
        <f>+D22</f>
        <v>77.761436615825247</v>
      </c>
      <c r="E26" s="69">
        <f>+E22</f>
        <v>93.227223452324594</v>
      </c>
      <c r="F26" s="69">
        <f>+F22</f>
        <v>108.66446681803143</v>
      </c>
      <c r="G26" s="70">
        <f>C26+G22</f>
        <v>25124.073289330096</v>
      </c>
      <c r="H26" s="3"/>
      <c r="I26" s="3"/>
      <c r="J26" s="3"/>
      <c r="K26" s="3"/>
      <c r="L26" s="3"/>
      <c r="W26" s="25">
        <f>+W25+90</f>
        <v>360</v>
      </c>
      <c r="X26" s="24">
        <v>0.02</v>
      </c>
      <c r="Y26" s="26">
        <f>IF(($C$9&gt;$AA$23)*AND($C$9&lt;$AB$24),$X$25,$X$26)</f>
        <v>0.02</v>
      </c>
      <c r="Z26" s="26">
        <f>+IF(C$9&lt;=W25,0,Y26)</f>
        <v>0.02</v>
      </c>
      <c r="AA26" s="20"/>
      <c r="AB26" s="18"/>
    </row>
    <row r="27" spans="2:31" ht="15" x14ac:dyDescent="0.25">
      <c r="B27" s="49" t="s">
        <v>40</v>
      </c>
      <c r="C27" s="51"/>
      <c r="D27" s="51"/>
      <c r="E27" s="32"/>
      <c r="F27" s="6"/>
      <c r="G27" s="6"/>
      <c r="AA27" s="20"/>
      <c r="AC27" s="3"/>
      <c r="AD27" s="3"/>
      <c r="AE27" s="3"/>
    </row>
    <row r="28" spans="2:31" ht="25.5" customHeight="1" x14ac:dyDescent="0.25">
      <c r="B28" s="78" t="s">
        <v>39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2:31" ht="15" x14ac:dyDescent="0.25">
      <c r="B29" s="49"/>
      <c r="C29" s="32"/>
      <c r="D29" s="32"/>
      <c r="E29" s="32"/>
      <c r="F29" s="32"/>
      <c r="G29" s="32"/>
    </row>
    <row r="30" spans="2:31" ht="15" x14ac:dyDescent="0.25">
      <c r="B30" s="49"/>
      <c r="C30" s="32"/>
      <c r="D30" s="32"/>
      <c r="E30" s="32"/>
      <c r="F30" s="32"/>
      <c r="G30" s="32"/>
    </row>
    <row r="31" spans="2:31" ht="15.75" customHeight="1" x14ac:dyDescent="0.25">
      <c r="B31" s="31" t="s">
        <v>36</v>
      </c>
      <c r="C31" s="32"/>
    </row>
    <row r="32" spans="2:31" ht="15.75" customHeight="1" x14ac:dyDescent="0.25">
      <c r="B32" s="39"/>
      <c r="C32" s="32"/>
    </row>
    <row r="33" spans="2:31" ht="15.75" customHeight="1" x14ac:dyDescent="0.25">
      <c r="B33" s="47" t="s">
        <v>0</v>
      </c>
      <c r="C33" s="47" t="s">
        <v>2</v>
      </c>
      <c r="W33" s="22"/>
      <c r="X33" s="22"/>
      <c r="Y33" s="22"/>
      <c r="Z33" s="22"/>
      <c r="AA33" s="22"/>
    </row>
    <row r="34" spans="2:31" ht="15.75" customHeight="1" x14ac:dyDescent="0.25">
      <c r="B34" s="47" t="s">
        <v>6</v>
      </c>
      <c r="C34" s="47" t="s">
        <v>7</v>
      </c>
      <c r="D34" s="5"/>
      <c r="E34" s="5"/>
      <c r="F34" s="5"/>
      <c r="G34" s="5"/>
      <c r="H34" s="5"/>
      <c r="I34" s="5"/>
      <c r="J34" s="5"/>
      <c r="K34" s="5"/>
    </row>
    <row r="35" spans="2:31" ht="15.75" customHeight="1" x14ac:dyDescent="0.25">
      <c r="B35" s="47" t="s">
        <v>19</v>
      </c>
      <c r="C35" s="30">
        <v>720</v>
      </c>
      <c r="D35" s="75" t="s">
        <v>28</v>
      </c>
      <c r="E35" s="5"/>
      <c r="F35" s="5"/>
      <c r="G35" s="5"/>
      <c r="H35" s="5"/>
      <c r="I35" s="5"/>
      <c r="J35" s="5"/>
      <c r="K35" s="5"/>
    </row>
    <row r="36" spans="2:31" ht="15.75" customHeight="1" x14ac:dyDescent="0.25">
      <c r="B36" s="7"/>
      <c r="C36" s="55"/>
      <c r="D36" s="4"/>
      <c r="E36" s="4"/>
      <c r="F36" s="4"/>
      <c r="G36" s="4"/>
      <c r="H36" s="4"/>
      <c r="I36" s="4"/>
      <c r="J36" s="4"/>
      <c r="K36" s="4"/>
      <c r="L36" s="4"/>
    </row>
    <row r="37" spans="2:31" ht="15.75" customHeight="1" x14ac:dyDescent="0.25">
      <c r="B37" s="32"/>
      <c r="C37" s="53" t="s">
        <v>3</v>
      </c>
      <c r="D37" s="33">
        <f>+IF(C35&gt;AA49,AA49,C35)</f>
        <v>90</v>
      </c>
      <c r="E37" s="33">
        <f>+IF(AND(C35&gt;AA49,C35&lt;AB49+1),C35,AB49)</f>
        <v>180</v>
      </c>
      <c r="F37" s="33">
        <f>+IF(AND(C35&gt;AB49,C35&lt;AA50+1),C35,AA50)</f>
        <v>270</v>
      </c>
      <c r="G37" s="33">
        <f>+IF(AND(C35&gt;AA50,C35&lt;AB50+1),C35,AB50)</f>
        <v>360</v>
      </c>
      <c r="H37" s="33">
        <f>+IF(AND(C35&gt;AB50,C35&lt;AA51+1),C35,AA51)</f>
        <v>450</v>
      </c>
      <c r="I37" s="33">
        <f>+IF(AND(C35&gt;AA51,C35&lt;AB51+1),C35,AB51)</f>
        <v>540</v>
      </c>
      <c r="J37" s="33">
        <f>+IF(AND(C35&gt;AB51,C35&lt;AA52+1),C35,AA52)</f>
        <v>630</v>
      </c>
      <c r="K37" s="33">
        <f>+IF(AND(C35&gt;AA52,C35&lt;AB52+1),C35,AB52)</f>
        <v>720</v>
      </c>
      <c r="W37" s="20"/>
      <c r="X37" s="20"/>
    </row>
    <row r="38" spans="2:31" ht="6.75" customHeight="1" x14ac:dyDescent="0.25">
      <c r="B38" s="32"/>
      <c r="C38" s="32"/>
      <c r="D38" s="34"/>
      <c r="E38" s="32"/>
      <c r="F38" s="32"/>
      <c r="G38" s="32"/>
      <c r="H38" s="32"/>
      <c r="I38" s="32"/>
      <c r="J38" s="32"/>
      <c r="K38" s="32"/>
      <c r="W38" s="20"/>
      <c r="X38" s="20"/>
    </row>
    <row r="39" spans="2:31" ht="15.75" customHeight="1" x14ac:dyDescent="0.25">
      <c r="B39" s="33" t="s">
        <v>34</v>
      </c>
      <c r="C39" s="33" t="s">
        <v>4</v>
      </c>
      <c r="D39" s="36">
        <f>+Z49</f>
        <v>1.2499999999999999E-2</v>
      </c>
      <c r="E39" s="36">
        <f>+Z50</f>
        <v>1.4999999999999998E-2</v>
      </c>
      <c r="F39" s="36">
        <f>+Z51</f>
        <v>1.7500000000000002E-2</v>
      </c>
      <c r="G39" s="36">
        <f>+Z52</f>
        <v>0.02</v>
      </c>
      <c r="H39" s="36">
        <f>+Z53</f>
        <v>2.2499999999999999E-2</v>
      </c>
      <c r="I39" s="36">
        <f>+Z54</f>
        <v>2.5000000000000001E-2</v>
      </c>
      <c r="J39" s="36">
        <f>+Z55</f>
        <v>2.7500000000000004E-2</v>
      </c>
      <c r="K39" s="36">
        <f>+Z56</f>
        <v>3.0000000000000002E-2</v>
      </c>
      <c r="L39" s="10"/>
      <c r="W39" s="20"/>
      <c r="X39" s="20"/>
    </row>
    <row r="40" spans="2:31" ht="6.75" customHeight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2:31" ht="15.75" customHeight="1" x14ac:dyDescent="0.25">
      <c r="B41" s="32"/>
      <c r="C41" s="48" t="s">
        <v>8</v>
      </c>
      <c r="D41" s="83" t="s">
        <v>13</v>
      </c>
      <c r="E41" s="83"/>
      <c r="F41" s="83"/>
      <c r="G41" s="83"/>
      <c r="H41" s="83"/>
      <c r="I41" s="83"/>
      <c r="J41" s="83"/>
      <c r="K41" s="83"/>
      <c r="L41" s="4"/>
    </row>
    <row r="42" spans="2:31" ht="15.75" customHeight="1" x14ac:dyDescent="0.25">
      <c r="B42" s="48" t="s">
        <v>5</v>
      </c>
      <c r="C42" s="46">
        <v>45001</v>
      </c>
      <c r="D42" s="37">
        <f>+C42+D37</f>
        <v>45091</v>
      </c>
      <c r="E42" s="37">
        <f>+D42+E37-D37</f>
        <v>45181</v>
      </c>
      <c r="F42" s="37">
        <f t="shared" ref="F42:K42" si="1">+E42+F37-E37</f>
        <v>45271</v>
      </c>
      <c r="G42" s="37">
        <f t="shared" si="1"/>
        <v>45361</v>
      </c>
      <c r="H42" s="37">
        <f t="shared" si="1"/>
        <v>45451</v>
      </c>
      <c r="I42" s="37">
        <f t="shared" si="1"/>
        <v>45541</v>
      </c>
      <c r="J42" s="37">
        <f t="shared" si="1"/>
        <v>45631</v>
      </c>
      <c r="K42" s="37">
        <f t="shared" si="1"/>
        <v>45721</v>
      </c>
      <c r="M42" s="4"/>
      <c r="N42" s="4"/>
      <c r="O42" s="4"/>
      <c r="P42" s="4"/>
      <c r="Q42" s="4"/>
    </row>
    <row r="43" spans="2:31" ht="6.75" customHeight="1" x14ac:dyDescent="0.25">
      <c r="U43" s="20"/>
      <c r="V43" s="20"/>
      <c r="AC43" s="20"/>
      <c r="AD43" s="3"/>
      <c r="AE43" s="3"/>
    </row>
    <row r="44" spans="2:31" ht="15.75" customHeight="1" x14ac:dyDescent="0.25">
      <c r="D44" s="82" t="s">
        <v>3</v>
      </c>
      <c r="E44" s="82"/>
      <c r="F44" s="82"/>
      <c r="G44" s="82"/>
      <c r="H44" s="82"/>
      <c r="I44" s="82"/>
      <c r="J44" s="82"/>
      <c r="K44" s="82"/>
    </row>
    <row r="45" spans="2:31" ht="15.75" customHeight="1" x14ac:dyDescent="0.25">
      <c r="B45" s="6"/>
      <c r="C45" s="4"/>
      <c r="D45" s="48">
        <f>+D37</f>
        <v>90</v>
      </c>
      <c r="E45" s="48">
        <f t="shared" ref="E45:K45" si="2">+E37</f>
        <v>180</v>
      </c>
      <c r="F45" s="48">
        <f t="shared" si="2"/>
        <v>270</v>
      </c>
      <c r="G45" s="48">
        <f t="shared" si="2"/>
        <v>360</v>
      </c>
      <c r="H45" s="48">
        <f t="shared" si="2"/>
        <v>450</v>
      </c>
      <c r="I45" s="48">
        <f t="shared" si="2"/>
        <v>540</v>
      </c>
      <c r="J45" s="48">
        <f t="shared" si="2"/>
        <v>630</v>
      </c>
      <c r="K45" s="48">
        <f t="shared" si="2"/>
        <v>720</v>
      </c>
    </row>
    <row r="46" spans="2:31" ht="6.75" customHeight="1" x14ac:dyDescent="0.25">
      <c r="U46" s="20"/>
      <c r="V46" s="20"/>
      <c r="AC46" s="20"/>
      <c r="AD46" s="3"/>
      <c r="AE46" s="3"/>
    </row>
    <row r="47" spans="2:31" ht="15.75" customHeight="1" x14ac:dyDescent="0.25">
      <c r="B47" s="54"/>
      <c r="C47" s="38" t="s">
        <v>32</v>
      </c>
      <c r="D47" s="83" t="s">
        <v>31</v>
      </c>
      <c r="E47" s="83"/>
      <c r="F47" s="83"/>
      <c r="G47" s="83"/>
      <c r="H47" s="83"/>
      <c r="I47" s="83"/>
      <c r="J47" s="83"/>
      <c r="K47" s="83"/>
      <c r="X47" s="84" t="s">
        <v>26</v>
      </c>
      <c r="Y47" s="85"/>
      <c r="Z47" s="86"/>
    </row>
    <row r="48" spans="2:31" ht="30" x14ac:dyDescent="0.25">
      <c r="B48" s="50" t="s">
        <v>33</v>
      </c>
      <c r="C48" s="67">
        <v>25000</v>
      </c>
      <c r="D48" s="71">
        <f>+$C$48*((1+D39)^(D37/ 360)-1)</f>
        <v>77.761436615825247</v>
      </c>
      <c r="E48" s="71">
        <f t="shared" ref="E48:K48" si="3">+$C$48*((1+E39)^((E37-D37)/ 360)-1)</f>
        <v>93.227223452324594</v>
      </c>
      <c r="F48" s="71">
        <f t="shared" si="3"/>
        <v>108.66446681803143</v>
      </c>
      <c r="G48" s="71">
        <f t="shared" si="3"/>
        <v>124.07328933009553</v>
      </c>
      <c r="H48" s="71">
        <f t="shared" si="3"/>
        <v>139.4538127799494</v>
      </c>
      <c r="I48" s="71">
        <f t="shared" si="3"/>
        <v>154.80615814090214</v>
      </c>
      <c r="J48" s="71">
        <f t="shared" si="3"/>
        <v>170.13044557557257</v>
      </c>
      <c r="K48" s="71">
        <f t="shared" si="3"/>
        <v>185.42679444332188</v>
      </c>
      <c r="M48" s="10"/>
      <c r="N48" s="10"/>
      <c r="O48" s="10"/>
      <c r="P48" s="10"/>
      <c r="Q48" s="10"/>
      <c r="X48" s="23" t="s">
        <v>24</v>
      </c>
      <c r="Y48" s="21" t="s">
        <v>21</v>
      </c>
      <c r="Z48" s="21" t="s">
        <v>22</v>
      </c>
    </row>
    <row r="49" spans="2:28" ht="15.75" customHeight="1" x14ac:dyDescent="0.25">
      <c r="B49" s="47" t="s">
        <v>9</v>
      </c>
      <c r="C49" s="69">
        <f>+C48+C61</f>
        <v>25000</v>
      </c>
      <c r="D49" s="70">
        <f>C49+D48</f>
        <v>25077.761436615827</v>
      </c>
      <c r="E49" s="72"/>
      <c r="F49" s="72"/>
      <c r="G49" s="72"/>
      <c r="H49" s="72"/>
      <c r="I49" s="72"/>
      <c r="J49" s="72"/>
      <c r="K49" s="72"/>
      <c r="W49" s="27">
        <v>90</v>
      </c>
      <c r="X49" s="24">
        <v>1.2499999999999999E-2</v>
      </c>
      <c r="Y49" s="28">
        <f>+IF(($C$35&lt;$AA$49)*AND($C$35&gt;30),0.5%,IF($C$35&lt;31,0%,$X$49))</f>
        <v>1.2499999999999999E-2</v>
      </c>
      <c r="Z49" s="28">
        <f>+Y49</f>
        <v>1.2499999999999999E-2</v>
      </c>
      <c r="AA49" s="20">
        <v>90</v>
      </c>
      <c r="AB49" s="18">
        <v>180</v>
      </c>
    </row>
    <row r="50" spans="2:28" ht="15.75" customHeight="1" x14ac:dyDescent="0.25">
      <c r="B50" s="47" t="s">
        <v>10</v>
      </c>
      <c r="C50" s="69">
        <f>+C48</f>
        <v>25000</v>
      </c>
      <c r="D50" s="73">
        <f>+$D$48</f>
        <v>77.761436615825247</v>
      </c>
      <c r="E50" s="70">
        <f>C50+E48</f>
        <v>25093.227223452326</v>
      </c>
      <c r="F50" s="72"/>
      <c r="G50" s="72"/>
      <c r="H50" s="72"/>
      <c r="I50" s="72"/>
      <c r="J50" s="72"/>
      <c r="K50" s="72"/>
      <c r="M50" s="4"/>
      <c r="N50" s="4"/>
      <c r="O50" s="4"/>
      <c r="P50" s="4"/>
      <c r="Q50" s="4"/>
      <c r="W50" s="25">
        <f t="shared" ref="W50:W56" si="4">+W49+90</f>
        <v>180</v>
      </c>
      <c r="X50" s="24">
        <v>1.4999999999999998E-2</v>
      </c>
      <c r="Y50" s="26">
        <f>IF(($C$35&gt;$AA$49)*AND($C$35&lt;$AB$49),$X$49,$X$50)</f>
        <v>1.4999999999999998E-2</v>
      </c>
      <c r="Z50" s="26">
        <f t="shared" ref="Z50:Z56" si="5">+IF(C$35&lt;=W49,0,Y50)</f>
        <v>1.4999999999999998E-2</v>
      </c>
      <c r="AA50" s="18">
        <v>270</v>
      </c>
      <c r="AB50" s="18">
        <v>360</v>
      </c>
    </row>
    <row r="51" spans="2:28" ht="15.75" customHeight="1" x14ac:dyDescent="0.25">
      <c r="B51" s="47" t="s">
        <v>11</v>
      </c>
      <c r="C51" s="69">
        <f>+C48</f>
        <v>25000</v>
      </c>
      <c r="D51" s="73">
        <f t="shared" ref="D51:D56" si="6">+$D$48</f>
        <v>77.761436615825247</v>
      </c>
      <c r="E51" s="73">
        <f t="shared" ref="E51:E56" si="7">+$E$48</f>
        <v>93.227223452324594</v>
      </c>
      <c r="F51" s="70">
        <f>C51+F48</f>
        <v>25108.664466818031</v>
      </c>
      <c r="G51" s="72"/>
      <c r="H51" s="72"/>
      <c r="I51" s="72"/>
      <c r="J51" s="72"/>
      <c r="K51" s="72"/>
      <c r="W51" s="27">
        <f t="shared" si="4"/>
        <v>270</v>
      </c>
      <c r="X51" s="24">
        <v>1.7500000000000002E-2</v>
      </c>
      <c r="Y51" s="28">
        <f>IF(($C$35&gt;$AA$49)*AND($C$35&lt;$AA$50),$X$50,$X$51)</f>
        <v>1.7500000000000002E-2</v>
      </c>
      <c r="Z51" s="28">
        <f t="shared" si="5"/>
        <v>1.7500000000000002E-2</v>
      </c>
      <c r="AA51" s="20">
        <f>+AB50+90</f>
        <v>450</v>
      </c>
      <c r="AB51" s="20">
        <f>+AA51+90</f>
        <v>540</v>
      </c>
    </row>
    <row r="52" spans="2:28" ht="15.75" customHeight="1" x14ac:dyDescent="0.25">
      <c r="B52" s="47" t="s">
        <v>12</v>
      </c>
      <c r="C52" s="69">
        <f>+C48</f>
        <v>25000</v>
      </c>
      <c r="D52" s="73">
        <f t="shared" si="6"/>
        <v>77.761436615825247</v>
      </c>
      <c r="E52" s="73">
        <f t="shared" si="7"/>
        <v>93.227223452324594</v>
      </c>
      <c r="F52" s="73">
        <f>+$F$48</f>
        <v>108.66446681803143</v>
      </c>
      <c r="G52" s="70">
        <f>C52+G48</f>
        <v>25124.073289330096</v>
      </c>
      <c r="H52" s="72"/>
      <c r="I52" s="72"/>
      <c r="J52" s="72"/>
      <c r="K52" s="72"/>
      <c r="W52" s="25">
        <f t="shared" si="4"/>
        <v>360</v>
      </c>
      <c r="X52" s="24">
        <v>0.02</v>
      </c>
      <c r="Y52" s="26">
        <f>IF(($C$35&gt;$AA$49)*AND($C$35&lt;$AB$50),$X$51,$X$52)</f>
        <v>0.02</v>
      </c>
      <c r="Z52" s="26">
        <f t="shared" si="5"/>
        <v>0.02</v>
      </c>
      <c r="AA52" s="20">
        <f>+AB51+90</f>
        <v>630</v>
      </c>
      <c r="AB52" s="20">
        <f>+AA52+90</f>
        <v>720</v>
      </c>
    </row>
    <row r="53" spans="2:28" ht="15.75" customHeight="1" x14ac:dyDescent="0.25">
      <c r="B53" s="47" t="s">
        <v>14</v>
      </c>
      <c r="C53" s="69">
        <f>+C49</f>
        <v>25000</v>
      </c>
      <c r="D53" s="73">
        <f t="shared" si="6"/>
        <v>77.761436615825247</v>
      </c>
      <c r="E53" s="73">
        <f t="shared" si="7"/>
        <v>93.227223452324594</v>
      </c>
      <c r="F53" s="73">
        <f>+$F$48</f>
        <v>108.66446681803143</v>
      </c>
      <c r="G53" s="73">
        <f>+$G$48</f>
        <v>124.07328933009553</v>
      </c>
      <c r="H53" s="70">
        <f>C53+H48</f>
        <v>25139.45381277995</v>
      </c>
      <c r="I53" s="74"/>
      <c r="J53" s="74"/>
      <c r="K53" s="74"/>
      <c r="W53" s="27">
        <f t="shared" si="4"/>
        <v>450</v>
      </c>
      <c r="X53" s="24">
        <v>2.2499999999999999E-2</v>
      </c>
      <c r="Y53" s="28">
        <f>IF(($C$35&gt;$AA$49)*AND($C$35&lt;$AA$51),$X$52,$X$53)</f>
        <v>2.2499999999999999E-2</v>
      </c>
      <c r="Z53" s="28">
        <f t="shared" si="5"/>
        <v>2.2499999999999999E-2</v>
      </c>
    </row>
    <row r="54" spans="2:28" ht="15" x14ac:dyDescent="0.25">
      <c r="B54" s="47" t="s">
        <v>15</v>
      </c>
      <c r="C54" s="69">
        <f>+C50</f>
        <v>25000</v>
      </c>
      <c r="D54" s="73">
        <f t="shared" si="6"/>
        <v>77.761436615825247</v>
      </c>
      <c r="E54" s="73">
        <f t="shared" si="7"/>
        <v>93.227223452324594</v>
      </c>
      <c r="F54" s="73">
        <f>+$F$48</f>
        <v>108.66446681803143</v>
      </c>
      <c r="G54" s="73">
        <f>+$G$48</f>
        <v>124.07328933009553</v>
      </c>
      <c r="H54" s="73">
        <f>+H48</f>
        <v>139.4538127799494</v>
      </c>
      <c r="I54" s="70">
        <f>C54+I48</f>
        <v>25154.806158140902</v>
      </c>
      <c r="J54" s="74"/>
      <c r="K54" s="74"/>
      <c r="W54" s="25">
        <f t="shared" si="4"/>
        <v>540</v>
      </c>
      <c r="X54" s="24">
        <v>2.5000000000000001E-2</v>
      </c>
      <c r="Y54" s="26">
        <f>IF(($C$35&gt;$AA$49)*AND($C$35&lt;$AB$51),$X$53,$X$54)</f>
        <v>2.5000000000000001E-2</v>
      </c>
      <c r="Z54" s="26">
        <f t="shared" si="5"/>
        <v>2.5000000000000001E-2</v>
      </c>
    </row>
    <row r="55" spans="2:28" ht="15.75" customHeight="1" x14ac:dyDescent="0.25">
      <c r="B55" s="47" t="s">
        <v>16</v>
      </c>
      <c r="C55" s="69">
        <f>+C51</f>
        <v>25000</v>
      </c>
      <c r="D55" s="73">
        <f t="shared" si="6"/>
        <v>77.761436615825247</v>
      </c>
      <c r="E55" s="73">
        <f t="shared" si="7"/>
        <v>93.227223452324594</v>
      </c>
      <c r="F55" s="73">
        <f>+$F$48</f>
        <v>108.66446681803143</v>
      </c>
      <c r="G55" s="73">
        <f>+$G$48</f>
        <v>124.07328933009553</v>
      </c>
      <c r="H55" s="73">
        <f>+H48</f>
        <v>139.4538127799494</v>
      </c>
      <c r="I55" s="73">
        <f>+I48</f>
        <v>154.80615814090214</v>
      </c>
      <c r="J55" s="70">
        <f>C55+J48</f>
        <v>25170.130445575571</v>
      </c>
      <c r="K55" s="74"/>
      <c r="W55" s="27">
        <f t="shared" si="4"/>
        <v>630</v>
      </c>
      <c r="X55" s="24">
        <v>2.7500000000000004E-2</v>
      </c>
      <c r="Y55" s="28">
        <f>IF(($C$35&gt;$AA$49)*AND($C$35&lt;$AA$52),$X$54,$X$55)</f>
        <v>2.7500000000000004E-2</v>
      </c>
      <c r="Z55" s="28">
        <f t="shared" si="5"/>
        <v>2.7500000000000004E-2</v>
      </c>
    </row>
    <row r="56" spans="2:28" ht="15.75" customHeight="1" x14ac:dyDescent="0.25">
      <c r="B56" s="47" t="s">
        <v>17</v>
      </c>
      <c r="C56" s="69">
        <f>+C52</f>
        <v>25000</v>
      </c>
      <c r="D56" s="73">
        <f t="shared" si="6"/>
        <v>77.761436615825247</v>
      </c>
      <c r="E56" s="73">
        <f t="shared" si="7"/>
        <v>93.227223452324594</v>
      </c>
      <c r="F56" s="73">
        <f>+$F$48</f>
        <v>108.66446681803143</v>
      </c>
      <c r="G56" s="73">
        <f>+$G$48</f>
        <v>124.07328933009553</v>
      </c>
      <c r="H56" s="73">
        <f>+H48</f>
        <v>139.4538127799494</v>
      </c>
      <c r="I56" s="73">
        <f>+I48</f>
        <v>154.80615814090214</v>
      </c>
      <c r="J56" s="73">
        <f>+J48</f>
        <v>170.13044557557257</v>
      </c>
      <c r="K56" s="70">
        <f>C56+K48</f>
        <v>25185.426794443323</v>
      </c>
      <c r="W56" s="25">
        <f t="shared" si="4"/>
        <v>720</v>
      </c>
      <c r="X56" s="24">
        <v>3.0000000000000002E-2</v>
      </c>
      <c r="Y56" s="26">
        <f>IF(($C$35&gt;$AA$49)*AND($C$35&lt;$AB$52),$X$55,$X$56)</f>
        <v>3.0000000000000002E-2</v>
      </c>
      <c r="Z56" s="26">
        <f t="shared" si="5"/>
        <v>3.0000000000000002E-2</v>
      </c>
    </row>
    <row r="57" spans="2:28" ht="15.75" customHeight="1" x14ac:dyDescent="0.25">
      <c r="B57" s="49" t="s">
        <v>40</v>
      </c>
      <c r="C57" s="32"/>
      <c r="D57" s="32"/>
      <c r="E57" s="32"/>
      <c r="F57" s="32"/>
      <c r="G57" s="32"/>
      <c r="H57" s="32"/>
      <c r="I57" s="32"/>
      <c r="J57" s="32"/>
      <c r="K57" s="32"/>
    </row>
    <row r="58" spans="2:28" ht="15" x14ac:dyDescent="0.25">
      <c r="B58" s="78" t="s">
        <v>39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</row>
    <row r="59" spans="2:28" ht="15" x14ac:dyDescent="0.25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</row>
    <row r="60" spans="2:28" ht="15" x14ac:dyDescent="0.25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2:28" ht="15.75" customHeight="1" x14ac:dyDescent="0.25">
      <c r="B61" s="3" t="s">
        <v>41</v>
      </c>
    </row>
    <row r="65" spans="13:31" ht="15.75" customHeight="1" x14ac:dyDescent="0.25">
      <c r="M65" s="18"/>
      <c r="N65" s="18"/>
      <c r="O65" s="18"/>
      <c r="P65" s="18"/>
      <c r="Q65" s="18"/>
      <c r="R65" s="18"/>
      <c r="S65" s="18"/>
      <c r="T65" s="18"/>
      <c r="AA65" s="3"/>
      <c r="AB65" s="3"/>
      <c r="AC65" s="3"/>
      <c r="AD65" s="3"/>
      <c r="AE65" s="3"/>
    </row>
  </sheetData>
  <sheetProtection algorithmName="SHA-512" hashValue="z7ARsSHw+/nYvFHtPSoki7kVJDCogkvS8iZ90VZExnvWlqTw0DZV3irE35x0iaFabctHkm7EJgjRadZi4Wu8+A==" saltValue="YSrQbng6hg0Ft0oJAKP3qw==" spinCount="100000" sheet="1" objects="1" scenarios="1" selectLockedCells="1"/>
  <mergeCells count="10">
    <mergeCell ref="X21:Z21"/>
    <mergeCell ref="X47:Z47"/>
    <mergeCell ref="D44:K44"/>
    <mergeCell ref="D41:K41"/>
    <mergeCell ref="B28:N28"/>
    <mergeCell ref="B58:N59"/>
    <mergeCell ref="D15:G15"/>
    <mergeCell ref="D18:G18"/>
    <mergeCell ref="D21:G21"/>
    <mergeCell ref="D47:K47"/>
  </mergeCells>
  <conditionalFormatting sqref="D13 F13:G13">
    <cfRule type="cellIs" dxfId="34" priority="20" operator="equal">
      <formula>0.005</formula>
    </cfRule>
    <cfRule type="cellIs" dxfId="33" priority="21" operator="equal">
      <formula>0</formula>
    </cfRule>
  </conditionalFormatting>
  <conditionalFormatting sqref="D39 F39:K39">
    <cfRule type="cellIs" dxfId="32" priority="18" operator="equal">
      <formula>0.005</formula>
    </cfRule>
    <cfRule type="cellIs" dxfId="31" priority="19" operator="equal">
      <formula>0</formula>
    </cfRule>
  </conditionalFormatting>
  <conditionalFormatting sqref="E13">
    <cfRule type="cellIs" dxfId="30" priority="22" operator="equal">
      <formula>$X$23</formula>
    </cfRule>
    <cfRule type="cellIs" dxfId="29" priority="23" operator="equal">
      <formula>0.005</formula>
    </cfRule>
    <cfRule type="cellIs" dxfId="28" priority="24" operator="equal">
      <formula>0</formula>
    </cfRule>
  </conditionalFormatting>
  <conditionalFormatting sqref="E39">
    <cfRule type="cellIs" dxfId="27" priority="25" operator="equal">
      <formula>$Z$22</formula>
    </cfRule>
  </conditionalFormatting>
  <conditionalFormatting sqref="F13">
    <cfRule type="cellIs" dxfId="26" priority="26" operator="equal">
      <formula>$X$24</formula>
    </cfRule>
  </conditionalFormatting>
  <conditionalFormatting sqref="G13">
    <cfRule type="cellIs" dxfId="25" priority="28" operator="equal">
      <formula>$X$25</formula>
    </cfRule>
  </conditionalFormatting>
  <conditionalFormatting sqref="J39">
    <cfRule type="cellIs" dxfId="24" priority="33" operator="equal">
      <formula>$X$54</formula>
    </cfRule>
  </conditionalFormatting>
  <conditionalFormatting sqref="K39">
    <cfRule type="cellIs" dxfId="23" priority="34" operator="equal">
      <formula>$X$55</formula>
    </cfRule>
  </conditionalFormatting>
  <conditionalFormatting sqref="F39">
    <cfRule type="cellIs" dxfId="22" priority="38" operator="equal">
      <formula>$X$50</formula>
    </cfRule>
  </conditionalFormatting>
  <conditionalFormatting sqref="E39">
    <cfRule type="cellIs" dxfId="21" priority="39" operator="equal">
      <formula>$X$49</formula>
    </cfRule>
    <cfRule type="cellIs" dxfId="20" priority="40" operator="equal">
      <formula>0.005</formula>
    </cfRule>
    <cfRule type="cellIs" dxfId="19" priority="41" operator="equal">
      <formula>0</formula>
    </cfRule>
  </conditionalFormatting>
  <conditionalFormatting sqref="G39">
    <cfRule type="cellIs" dxfId="18" priority="42" operator="equal">
      <formula>$X$51</formula>
    </cfRule>
  </conditionalFormatting>
  <conditionalFormatting sqref="H39">
    <cfRule type="cellIs" dxfId="17" priority="43" operator="equal">
      <formula>$X$52</formula>
    </cfRule>
  </conditionalFormatting>
  <conditionalFormatting sqref="I39">
    <cfRule type="cellIs" dxfId="16" priority="44" operator="equal">
      <formula>$X$53</formula>
    </cfRule>
  </conditionalFormatting>
  <dataValidations count="3">
    <dataValidation type="whole" operator="greaterThanOrEqual" allowBlank="1" showInputMessage="1" showErrorMessage="1" errorTitle="Monto Mínimo" error="El monto mínimo de apertura es S/ 25,000.00" sqref="C22 C48" xr:uid="{00000000-0002-0000-0000-000000000000}">
      <formula1>25000</formula1>
    </dataValidation>
    <dataValidation type="whole" operator="lessThanOrEqual" allowBlank="1" showInputMessage="1" showErrorMessage="1" error="Plazo máximo 360 días" sqref="C9" xr:uid="{00000000-0002-0000-0000-000001000000}">
      <formula1>360</formula1>
    </dataValidation>
    <dataValidation type="whole" operator="lessThanOrEqual" allowBlank="1" showInputMessage="1" showErrorMessage="1" error="Plazo máximo 720 días" sqref="C35" xr:uid="{00000000-0002-0000-0000-000002000000}">
      <formula1>720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B5:AC60"/>
  <sheetViews>
    <sheetView showGridLines="0" zoomScaleNormal="100" workbookViewId="0">
      <selection activeCell="C9" sqref="C9"/>
    </sheetView>
  </sheetViews>
  <sheetFormatPr baseColWidth="10" defaultRowHeight="15.95" customHeight="1" x14ac:dyDescent="0.25"/>
  <cols>
    <col min="1" max="1" width="2.140625" style="3" customWidth="1"/>
    <col min="2" max="2" width="14.85546875" style="3" customWidth="1"/>
    <col min="3" max="7" width="15.5703125" style="3" customWidth="1"/>
    <col min="8" max="11" width="10.7109375" style="3" customWidth="1"/>
    <col min="12" max="17" width="11.42578125" style="3" customWidth="1"/>
    <col min="18" max="20" width="11.42578125" style="3"/>
    <col min="21" max="24" width="7.7109375" style="18" hidden="1" customWidth="1"/>
    <col min="25" max="26" width="5.5703125" style="18" hidden="1" customWidth="1"/>
    <col min="27" max="27" width="5.5703125" style="18" customWidth="1"/>
    <col min="28" max="29" width="12.42578125" style="18" customWidth="1"/>
    <col min="30" max="16384" width="11.42578125" style="3"/>
  </cols>
  <sheetData>
    <row r="5" spans="2:29" ht="15.95" customHeight="1" x14ac:dyDescent="0.25">
      <c r="B5" s="31" t="s">
        <v>37</v>
      </c>
      <c r="C5" s="32"/>
      <c r="D5" s="32"/>
      <c r="E5" s="32"/>
    </row>
    <row r="6" spans="2:29" ht="15.95" customHeight="1" x14ac:dyDescent="0.25">
      <c r="B6" s="39"/>
      <c r="C6" s="32"/>
      <c r="D6" s="32"/>
      <c r="E6" s="32"/>
      <c r="U6" s="19"/>
      <c r="V6" s="19"/>
      <c r="W6" s="19"/>
      <c r="X6" s="19"/>
      <c r="Y6" s="19"/>
      <c r="Z6" s="19"/>
      <c r="AA6" s="19"/>
      <c r="AB6" s="19"/>
      <c r="AC6" s="19"/>
    </row>
    <row r="7" spans="2:29" ht="15.95" customHeight="1" x14ac:dyDescent="0.25">
      <c r="B7" s="47" t="s">
        <v>0</v>
      </c>
      <c r="C7" s="47" t="s">
        <v>1</v>
      </c>
      <c r="D7" s="32"/>
      <c r="E7" s="32"/>
      <c r="F7" s="6"/>
      <c r="G7" s="6"/>
      <c r="U7" s="19"/>
      <c r="V7" s="19"/>
      <c r="W7" s="19"/>
      <c r="X7" s="19"/>
      <c r="Y7" s="19"/>
      <c r="Z7" s="19"/>
      <c r="AA7" s="19"/>
      <c r="AB7" s="19"/>
      <c r="AC7" s="19"/>
    </row>
    <row r="8" spans="2:29" ht="15.95" customHeight="1" x14ac:dyDescent="0.25">
      <c r="B8" s="47" t="s">
        <v>6</v>
      </c>
      <c r="C8" s="47" t="s">
        <v>18</v>
      </c>
      <c r="D8" s="32"/>
      <c r="E8" s="32"/>
      <c r="F8" s="6"/>
      <c r="G8" s="6"/>
      <c r="U8" s="19"/>
      <c r="V8" s="19"/>
      <c r="W8" s="19"/>
      <c r="X8" s="19"/>
      <c r="Y8" s="19"/>
      <c r="Z8" s="19"/>
      <c r="AA8" s="19"/>
      <c r="AB8" s="19"/>
      <c r="AC8" s="19"/>
    </row>
    <row r="9" spans="2:29" s="4" customFormat="1" ht="15.95" customHeight="1" x14ac:dyDescent="0.25">
      <c r="B9" s="47" t="s">
        <v>19</v>
      </c>
      <c r="C9" s="30">
        <v>360</v>
      </c>
      <c r="D9" s="76" t="s">
        <v>29</v>
      </c>
      <c r="E9" s="3"/>
      <c r="F9" s="6"/>
      <c r="G9" s="6"/>
      <c r="U9" s="18"/>
      <c r="V9" s="18"/>
      <c r="W9" s="18"/>
      <c r="X9" s="18"/>
      <c r="Y9" s="18"/>
      <c r="Z9" s="18"/>
      <c r="AA9" s="18"/>
      <c r="AB9" s="18"/>
      <c r="AC9" s="18"/>
    </row>
    <row r="10" spans="2:29" s="4" customFormat="1" ht="15.95" customHeight="1" x14ac:dyDescent="0.25">
      <c r="B10" s="32"/>
      <c r="C10" s="32"/>
      <c r="D10" s="32"/>
      <c r="E10" s="32"/>
      <c r="F10" s="41"/>
      <c r="G10" s="6"/>
      <c r="U10" s="18"/>
      <c r="V10" s="18"/>
      <c r="W10" s="18"/>
      <c r="X10" s="18"/>
      <c r="Y10" s="18"/>
      <c r="Z10" s="18"/>
      <c r="AA10" s="18"/>
      <c r="AB10" s="18"/>
      <c r="AC10" s="18"/>
    </row>
    <row r="11" spans="2:29" ht="15.95" customHeight="1" x14ac:dyDescent="0.25">
      <c r="B11" s="32"/>
      <c r="C11" s="47" t="s">
        <v>3</v>
      </c>
      <c r="D11" s="33">
        <f>+IF(C9&gt;Y23,Y23,C9)</f>
        <v>180</v>
      </c>
      <c r="E11" s="33">
        <f>+IF(AND(C9&gt;Y23,C9&lt;Z23+1),C9,Z23)</f>
        <v>360</v>
      </c>
      <c r="F11" s="42"/>
      <c r="G11" s="7"/>
    </row>
    <row r="12" spans="2:29" ht="6.75" customHeight="1" x14ac:dyDescent="0.25">
      <c r="B12" s="32"/>
      <c r="C12" s="43"/>
      <c r="D12" s="34"/>
      <c r="E12" s="32"/>
      <c r="F12" s="41"/>
      <c r="G12" s="6"/>
    </row>
    <row r="13" spans="2:29" s="10" customFormat="1" ht="15.95" customHeight="1" x14ac:dyDescent="0.25">
      <c r="B13" s="33" t="s">
        <v>34</v>
      </c>
      <c r="C13" s="33" t="s">
        <v>4</v>
      </c>
      <c r="D13" s="36">
        <f>+X23</f>
        <v>1.7499999999999998E-2</v>
      </c>
      <c r="E13" s="36">
        <f>+X24</f>
        <v>3.0000000000000002E-2</v>
      </c>
      <c r="F13" s="44"/>
      <c r="G13" s="9"/>
      <c r="Y13" s="18"/>
      <c r="Z13" s="18"/>
      <c r="AA13" s="18"/>
      <c r="AB13" s="18"/>
      <c r="AC13" s="18"/>
    </row>
    <row r="14" spans="2:29" ht="6.75" customHeight="1" x14ac:dyDescent="0.25">
      <c r="B14" s="32"/>
      <c r="C14" s="32"/>
      <c r="D14" s="32"/>
      <c r="E14" s="32"/>
      <c r="F14" s="41"/>
      <c r="G14" s="6"/>
    </row>
    <row r="15" spans="2:29" s="4" customFormat="1" ht="15.95" customHeight="1" x14ac:dyDescent="0.25">
      <c r="B15" s="32"/>
      <c r="C15" s="48" t="s">
        <v>8</v>
      </c>
      <c r="D15" s="83" t="s">
        <v>13</v>
      </c>
      <c r="E15" s="83"/>
      <c r="F15" s="45"/>
      <c r="G15" s="11"/>
      <c r="Y15" s="18"/>
      <c r="Z15" s="18"/>
      <c r="AA15" s="18"/>
      <c r="AB15" s="18"/>
      <c r="AC15" s="18"/>
    </row>
    <row r="16" spans="2:29" ht="15.95" customHeight="1" x14ac:dyDescent="0.25">
      <c r="B16" s="48" t="s">
        <v>5</v>
      </c>
      <c r="C16" s="46">
        <v>45001</v>
      </c>
      <c r="D16" s="37">
        <f>+C16+D11</f>
        <v>45181</v>
      </c>
      <c r="E16" s="37">
        <f>+D16+E11-D11</f>
        <v>45361</v>
      </c>
      <c r="F16" s="12"/>
      <c r="G16" s="13"/>
      <c r="U16" s="20"/>
      <c r="V16" s="20"/>
      <c r="W16" s="20"/>
      <c r="X16" s="20"/>
      <c r="Y16" s="20"/>
      <c r="Z16" s="20"/>
      <c r="AA16" s="20"/>
      <c r="AB16" s="20"/>
      <c r="AC16" s="20"/>
    </row>
    <row r="17" spans="2:29" ht="6.75" customHeight="1" x14ac:dyDescent="0.25">
      <c r="U17" s="20"/>
      <c r="V17" s="20"/>
      <c r="W17" s="20"/>
      <c r="X17" s="20"/>
      <c r="Y17" s="20"/>
      <c r="Z17" s="20"/>
      <c r="AA17" s="20"/>
      <c r="AB17" s="20"/>
      <c r="AC17" s="20"/>
    </row>
    <row r="18" spans="2:29" ht="15.95" customHeight="1" x14ac:dyDescent="0.25">
      <c r="D18" s="87" t="s">
        <v>3</v>
      </c>
      <c r="E18" s="88"/>
      <c r="F18" s="14"/>
      <c r="G18" s="11"/>
      <c r="U18" s="20"/>
      <c r="V18" s="20"/>
      <c r="W18" s="20"/>
      <c r="X18" s="20"/>
      <c r="Y18" s="20"/>
      <c r="Z18" s="20"/>
      <c r="AA18" s="20"/>
    </row>
    <row r="19" spans="2:29" ht="15.95" customHeight="1" x14ac:dyDescent="0.25">
      <c r="D19" s="48">
        <f>+D11</f>
        <v>180</v>
      </c>
      <c r="E19" s="48">
        <f>+E11</f>
        <v>360</v>
      </c>
      <c r="F19" s="8"/>
      <c r="G19" s="7"/>
      <c r="U19" s="20"/>
      <c r="V19" s="20"/>
      <c r="W19" s="20"/>
      <c r="X19" s="20"/>
      <c r="Y19" s="20"/>
      <c r="Z19" s="20"/>
      <c r="AA19" s="20"/>
    </row>
    <row r="20" spans="2:29" ht="6.75" customHeight="1" x14ac:dyDescent="0.25">
      <c r="U20" s="20"/>
      <c r="V20" s="20"/>
      <c r="W20" s="20"/>
      <c r="X20" s="20"/>
      <c r="Y20" s="20"/>
      <c r="Z20" s="20"/>
      <c r="AA20" s="20"/>
    </row>
    <row r="21" spans="2:29" ht="15.95" customHeight="1" x14ac:dyDescent="0.25">
      <c r="C21" s="38" t="s">
        <v>32</v>
      </c>
      <c r="D21" s="87" t="s">
        <v>31</v>
      </c>
      <c r="E21" s="88"/>
      <c r="F21" s="8"/>
      <c r="G21" s="7"/>
      <c r="V21" s="84" t="s">
        <v>20</v>
      </c>
      <c r="W21" s="85"/>
      <c r="X21" s="86"/>
      <c r="Y21" s="20"/>
      <c r="Z21" s="20"/>
      <c r="AA21" s="20"/>
    </row>
    <row r="22" spans="2:29" ht="30" x14ac:dyDescent="0.25">
      <c r="B22" s="50" t="s">
        <v>33</v>
      </c>
      <c r="C22" s="67">
        <v>25000</v>
      </c>
      <c r="D22" s="68">
        <f>$C$22*((1+D13)^(D11/ 360)-1)</f>
        <v>217.80125229001746</v>
      </c>
      <c r="E22" s="68">
        <f>+$C$22*((1+E13)^((E11-D11)/ 360)-1)</f>
        <v>372.22891273054893</v>
      </c>
      <c r="F22" s="1"/>
      <c r="G22" s="2"/>
      <c r="V22" s="23" t="s">
        <v>24</v>
      </c>
      <c r="W22" s="21" t="s">
        <v>21</v>
      </c>
      <c r="X22" s="21" t="s">
        <v>22</v>
      </c>
      <c r="Y22" s="3"/>
      <c r="Z22" s="3"/>
      <c r="AA22" s="3"/>
      <c r="AB22" s="3"/>
      <c r="AC22" s="3"/>
    </row>
    <row r="23" spans="2:29" ht="15.95" customHeight="1" x14ac:dyDescent="0.25">
      <c r="B23" s="47" t="s">
        <v>9</v>
      </c>
      <c r="C23" s="69">
        <f>+C22</f>
        <v>25000</v>
      </c>
      <c r="D23" s="70">
        <f>C23+D22</f>
        <v>25217.801252290017</v>
      </c>
      <c r="E23" s="72"/>
      <c r="F23" s="16"/>
      <c r="G23" s="17"/>
      <c r="U23" s="27">
        <v>180</v>
      </c>
      <c r="V23" s="24">
        <v>1.7499999999999998E-2</v>
      </c>
      <c r="W23" s="28">
        <f>+IF(($C$9&lt;$Y$23)*AND($C$9&gt;30),0.5%,IF($C$9&lt;31,0%,$V$23))</f>
        <v>1.7499999999999998E-2</v>
      </c>
      <c r="X23" s="28">
        <f>+W23</f>
        <v>1.7499999999999998E-2</v>
      </c>
      <c r="Y23" s="3">
        <v>180</v>
      </c>
      <c r="Z23" s="3">
        <v>360</v>
      </c>
      <c r="AA23" s="3"/>
      <c r="AB23" s="3"/>
      <c r="AC23" s="3"/>
    </row>
    <row r="24" spans="2:29" ht="15.95" customHeight="1" x14ac:dyDescent="0.25">
      <c r="B24" s="47" t="s">
        <v>10</v>
      </c>
      <c r="C24" s="69">
        <f>+C22</f>
        <v>25000</v>
      </c>
      <c r="D24" s="69">
        <f>+D22</f>
        <v>217.80125229001746</v>
      </c>
      <c r="E24" s="70">
        <f>C24+E22</f>
        <v>25372.228912730548</v>
      </c>
      <c r="F24" s="16"/>
      <c r="G24" s="17"/>
      <c r="U24" s="25">
        <f>+U23+180</f>
        <v>360</v>
      </c>
      <c r="V24" s="24">
        <v>3.0000000000000002E-2</v>
      </c>
      <c r="W24" s="26">
        <f>IF(($C$9&gt;$Y$23)*AND($C$9&lt;$Z$23),$V$23,$V$24)</f>
        <v>3.0000000000000002E-2</v>
      </c>
      <c r="X24" s="26">
        <f>+IF(C$9&lt;=U23,0,W24)</f>
        <v>3.0000000000000002E-2</v>
      </c>
      <c r="Y24" s="3"/>
      <c r="Z24" s="3"/>
      <c r="AA24" s="3"/>
      <c r="AB24" s="3"/>
      <c r="AC24" s="3"/>
    </row>
    <row r="25" spans="2:29" ht="15.95" customHeight="1" x14ac:dyDescent="0.25">
      <c r="B25" s="49" t="s">
        <v>40</v>
      </c>
      <c r="C25" s="51"/>
      <c r="D25" s="51"/>
      <c r="E25" s="32"/>
      <c r="F25" s="6"/>
      <c r="G25" s="6"/>
      <c r="U25" s="3"/>
      <c r="V25" s="3"/>
      <c r="W25" s="3"/>
      <c r="X25" s="3"/>
      <c r="Y25" s="3"/>
      <c r="Z25" s="3"/>
      <c r="AA25" s="3"/>
      <c r="AB25" s="3"/>
      <c r="AC25" s="3"/>
    </row>
    <row r="26" spans="2:29" ht="29.25" customHeight="1" x14ac:dyDescent="0.25">
      <c r="B26" s="78" t="s">
        <v>39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U26" s="3"/>
      <c r="V26" s="3"/>
      <c r="W26" s="3"/>
      <c r="X26" s="3"/>
      <c r="Y26" s="3"/>
      <c r="Z26" s="3"/>
      <c r="AA26" s="3"/>
      <c r="AB26" s="3"/>
      <c r="AC26" s="3"/>
    </row>
    <row r="27" spans="2:29" ht="15.95" customHeight="1" x14ac:dyDescent="0.25">
      <c r="B27" s="49"/>
      <c r="C27" s="32"/>
      <c r="D27" s="32"/>
      <c r="E27" s="32"/>
      <c r="F27" s="6"/>
      <c r="G27" s="6"/>
      <c r="U27" s="3"/>
      <c r="V27" s="3"/>
      <c r="W27" s="3"/>
      <c r="X27" s="3"/>
      <c r="Y27" s="3"/>
      <c r="Z27" s="3"/>
      <c r="AA27" s="3"/>
      <c r="AB27" s="3"/>
      <c r="AC27" s="3"/>
    </row>
    <row r="28" spans="2:29" ht="15.95" customHeight="1" x14ac:dyDescent="0.25">
      <c r="B28" s="49"/>
      <c r="C28" s="32"/>
      <c r="D28" s="32"/>
      <c r="E28" s="32"/>
      <c r="F28" s="6"/>
      <c r="G28" s="6"/>
      <c r="U28" s="3"/>
      <c r="V28" s="3"/>
      <c r="W28" s="3"/>
      <c r="X28" s="3"/>
      <c r="Y28" s="3"/>
      <c r="Z28" s="3"/>
      <c r="AA28" s="3"/>
      <c r="AB28" s="3"/>
      <c r="AC28" s="3"/>
    </row>
    <row r="29" spans="2:29" s="15" customFormat="1" ht="18.75" x14ac:dyDescent="0.25">
      <c r="B29" s="31" t="s">
        <v>38</v>
      </c>
      <c r="C29" s="32"/>
      <c r="D29" s="32"/>
      <c r="E29" s="32"/>
      <c r="F29" s="3"/>
      <c r="G29" s="3"/>
    </row>
    <row r="30" spans="2:29" ht="15.95" customHeight="1" x14ac:dyDescent="0.25">
      <c r="B30" s="39"/>
      <c r="C30" s="32"/>
      <c r="D30" s="32"/>
      <c r="U30" s="3"/>
      <c r="V30" s="3"/>
      <c r="W30" s="3"/>
      <c r="X30" s="3"/>
      <c r="Y30" s="3"/>
      <c r="Z30" s="3"/>
      <c r="AA30" s="3"/>
      <c r="AB30" s="3"/>
      <c r="AC30" s="3"/>
    </row>
    <row r="31" spans="2:29" ht="15.95" customHeight="1" x14ac:dyDescent="0.25">
      <c r="B31" s="47" t="s">
        <v>0</v>
      </c>
      <c r="C31" s="47" t="s">
        <v>2</v>
      </c>
      <c r="D31" s="32"/>
      <c r="U31" s="22"/>
      <c r="V31" s="22"/>
      <c r="W31" s="22"/>
      <c r="X31" s="22"/>
      <c r="Y31" s="3"/>
      <c r="Z31" s="3"/>
      <c r="AA31" s="3"/>
      <c r="AB31" s="3"/>
      <c r="AC31" s="3"/>
    </row>
    <row r="32" spans="2:29" ht="15.95" customHeight="1" x14ac:dyDescent="0.25">
      <c r="B32" s="47" t="s">
        <v>6</v>
      </c>
      <c r="C32" s="47" t="s">
        <v>18</v>
      </c>
      <c r="D32" s="32"/>
      <c r="U32" s="22"/>
      <c r="V32" s="22"/>
      <c r="W32" s="22"/>
      <c r="X32" s="22"/>
      <c r="Y32" s="3"/>
      <c r="Z32" s="3"/>
      <c r="AA32" s="3"/>
      <c r="AB32" s="3"/>
      <c r="AC32" s="3"/>
    </row>
    <row r="33" spans="2:29" ht="15.95" customHeight="1" x14ac:dyDescent="0.25">
      <c r="B33" s="47" t="s">
        <v>19</v>
      </c>
      <c r="C33" s="30">
        <v>720</v>
      </c>
      <c r="D33" s="76" t="s">
        <v>30</v>
      </c>
      <c r="E33" s="4"/>
      <c r="F33" s="4"/>
      <c r="G33" s="4"/>
      <c r="U33" s="22"/>
      <c r="V33" s="22"/>
      <c r="W33" s="22"/>
      <c r="X33" s="22"/>
    </row>
    <row r="34" spans="2:29" ht="15.95" customHeight="1" x14ac:dyDescent="0.25">
      <c r="B34" s="4"/>
      <c r="C34" s="4"/>
      <c r="D34" s="4"/>
      <c r="E34" s="4"/>
      <c r="F34" s="4"/>
      <c r="G34" s="4"/>
      <c r="U34" s="22"/>
      <c r="V34" s="22"/>
      <c r="W34" s="22"/>
      <c r="X34" s="22"/>
    </row>
    <row r="35" spans="2:29" ht="15.95" customHeight="1" x14ac:dyDescent="0.25">
      <c r="B35" s="32"/>
      <c r="C35" s="47" t="s">
        <v>3</v>
      </c>
      <c r="D35" s="33">
        <f>+IF(C33&gt;Y47,Y47,C33)</f>
        <v>180</v>
      </c>
      <c r="E35" s="33">
        <f>+IF(AND(C33&gt;Y47,C33&lt;Z47+1),C33,Z47)</f>
        <v>360</v>
      </c>
      <c r="F35" s="33">
        <f>+IF(AND(C33&gt;Z47,C33&lt;Y48+1),C33,Y48)</f>
        <v>540</v>
      </c>
      <c r="G35" s="33">
        <f>+IF(AND(C33&gt;Y48,C33&lt;Z48+1),C33,Z48)</f>
        <v>720</v>
      </c>
      <c r="U35" s="20"/>
      <c r="V35" s="20"/>
    </row>
    <row r="36" spans="2:29" ht="6.75" customHeight="1" x14ac:dyDescent="0.25">
      <c r="B36" s="32"/>
      <c r="C36" s="32"/>
      <c r="D36" s="34"/>
      <c r="E36" s="32"/>
      <c r="F36" s="32"/>
      <c r="G36" s="32"/>
    </row>
    <row r="37" spans="2:29" ht="15.95" customHeight="1" x14ac:dyDescent="0.25">
      <c r="B37" s="33" t="s">
        <v>34</v>
      </c>
      <c r="C37" s="33" t="s">
        <v>4</v>
      </c>
      <c r="D37" s="36">
        <f>+X47</f>
        <v>1.7499999999999998E-2</v>
      </c>
      <c r="E37" s="36">
        <f>+X48</f>
        <v>3.0000000000000002E-2</v>
      </c>
      <c r="F37" s="36">
        <f>+X49</f>
        <v>3.2500000000000001E-2</v>
      </c>
      <c r="G37" s="36">
        <f>+X50</f>
        <v>3.5000000000000003E-2</v>
      </c>
    </row>
    <row r="38" spans="2:29" ht="6.75" customHeight="1" x14ac:dyDescent="0.25">
      <c r="B38" s="32"/>
      <c r="C38" s="32"/>
      <c r="D38" s="32"/>
      <c r="E38" s="32"/>
      <c r="F38" s="32"/>
      <c r="G38" s="32"/>
    </row>
    <row r="39" spans="2:29" s="4" customFormat="1" ht="15.95" customHeight="1" x14ac:dyDescent="0.25">
      <c r="B39" s="32"/>
      <c r="C39" s="48" t="s">
        <v>8</v>
      </c>
      <c r="D39" s="79" t="s">
        <v>13</v>
      </c>
      <c r="E39" s="80"/>
      <c r="F39" s="80"/>
      <c r="G39" s="81"/>
      <c r="AA39" s="18"/>
      <c r="AB39" s="18"/>
      <c r="AC39" s="18"/>
    </row>
    <row r="40" spans="2:29" s="4" customFormat="1" ht="15.95" customHeight="1" x14ac:dyDescent="0.25">
      <c r="B40" s="48" t="s">
        <v>5</v>
      </c>
      <c r="C40" s="46">
        <v>45001</v>
      </c>
      <c r="D40" s="37">
        <f>+C40+D35</f>
        <v>45181</v>
      </c>
      <c r="E40" s="37">
        <f>+D40+E35-D35</f>
        <v>45361</v>
      </c>
      <c r="F40" s="37">
        <f t="shared" ref="F40:G40" si="0">+E40+F35-E35</f>
        <v>45541</v>
      </c>
      <c r="G40" s="37">
        <f t="shared" si="0"/>
        <v>45721</v>
      </c>
      <c r="AA40" s="18"/>
      <c r="AB40" s="18"/>
      <c r="AC40" s="18"/>
    </row>
    <row r="41" spans="2:29" ht="6.75" customHeight="1" x14ac:dyDescent="0.25">
      <c r="AA41" s="20"/>
      <c r="AB41" s="20"/>
      <c r="AC41" s="20"/>
    </row>
    <row r="42" spans="2:29" ht="15.95" customHeight="1" x14ac:dyDescent="0.25">
      <c r="B42" s="32"/>
      <c r="D42" s="82" t="s">
        <v>3</v>
      </c>
      <c r="E42" s="82"/>
      <c r="F42" s="82"/>
      <c r="G42" s="82"/>
    </row>
    <row r="43" spans="2:29" ht="15.95" customHeight="1" x14ac:dyDescent="0.25">
      <c r="B43" s="41"/>
      <c r="C43" s="4"/>
      <c r="D43" s="48">
        <f>+D35</f>
        <v>180</v>
      </c>
      <c r="E43" s="48">
        <f>+E35</f>
        <v>360</v>
      </c>
      <c r="F43" s="48">
        <f>+F35</f>
        <v>540</v>
      </c>
      <c r="G43" s="48">
        <f>+G35</f>
        <v>720</v>
      </c>
    </row>
    <row r="44" spans="2:29" ht="6.75" customHeight="1" x14ac:dyDescent="0.25">
      <c r="U44" s="20"/>
      <c r="V44" s="20"/>
      <c r="W44" s="20"/>
      <c r="X44" s="20"/>
      <c r="Y44" s="20"/>
      <c r="Z44" s="20"/>
      <c r="AA44" s="20"/>
      <c r="AB44" s="20"/>
      <c r="AC44" s="20"/>
    </row>
    <row r="45" spans="2:29" ht="15.95" customHeight="1" x14ac:dyDescent="0.25">
      <c r="B45" s="40"/>
      <c r="C45" s="38" t="s">
        <v>32</v>
      </c>
      <c r="D45" s="79" t="s">
        <v>31</v>
      </c>
      <c r="E45" s="80"/>
      <c r="F45" s="80"/>
      <c r="G45" s="81"/>
      <c r="V45" s="84" t="s">
        <v>23</v>
      </c>
      <c r="W45" s="85"/>
      <c r="X45" s="86"/>
    </row>
    <row r="46" spans="2:29" s="10" customFormat="1" ht="30" x14ac:dyDescent="0.25">
      <c r="B46" s="50" t="s">
        <v>33</v>
      </c>
      <c r="C46" s="67">
        <v>25000</v>
      </c>
      <c r="D46" s="68">
        <f>+$C$46*((1+D37)^(D35/ 360)-1)</f>
        <v>217.80125229001746</v>
      </c>
      <c r="E46" s="68">
        <f>+$C$46*((1+E37)^((E35-D35)/ 360)-1)</f>
        <v>372.22891273054893</v>
      </c>
      <c r="F46" s="68">
        <f>+$C$46*((1+F37)^((F35-E35)/ 360)-1)</f>
        <v>403.00179112696679</v>
      </c>
      <c r="G46" s="68">
        <f>+$C$46*((1+G37)^((G35-F35)/ 360)-1)</f>
        <v>433.73743671975552</v>
      </c>
      <c r="U46" s="18"/>
      <c r="V46" s="23" t="s">
        <v>24</v>
      </c>
      <c r="W46" s="21" t="s">
        <v>21</v>
      </c>
      <c r="X46" s="21" t="s">
        <v>22</v>
      </c>
      <c r="Y46" s="18"/>
      <c r="Z46" s="18"/>
      <c r="AA46" s="18"/>
      <c r="AB46" s="18"/>
      <c r="AC46" s="18"/>
    </row>
    <row r="47" spans="2:29" ht="15.95" customHeight="1" x14ac:dyDescent="0.25">
      <c r="B47" s="47" t="s">
        <v>9</v>
      </c>
      <c r="C47" s="69">
        <f>+C46</f>
        <v>25000</v>
      </c>
      <c r="D47" s="70">
        <f>C47+D46</f>
        <v>25217.801252290017</v>
      </c>
      <c r="E47" s="72"/>
      <c r="F47" s="72"/>
      <c r="G47" s="72"/>
      <c r="U47" s="27">
        <v>180</v>
      </c>
      <c r="V47" s="24">
        <v>1.7499999999999998E-2</v>
      </c>
      <c r="W47" s="28">
        <f>+IF(($C$33&lt;$Y$47)*AND($C$33&gt;30),0.5%,IF($C$33&lt;31,0%,$V$47))</f>
        <v>1.7499999999999998E-2</v>
      </c>
      <c r="X47" s="28">
        <f>+W47</f>
        <v>1.7499999999999998E-2</v>
      </c>
      <c r="Y47" s="18">
        <v>180</v>
      </c>
      <c r="Z47" s="18">
        <v>360</v>
      </c>
    </row>
    <row r="48" spans="2:29" s="4" customFormat="1" ht="15.95" customHeight="1" x14ac:dyDescent="0.25">
      <c r="B48" s="47" t="s">
        <v>10</v>
      </c>
      <c r="C48" s="69">
        <f>+C46</f>
        <v>25000</v>
      </c>
      <c r="D48" s="69">
        <f>+D46</f>
        <v>217.80125229001746</v>
      </c>
      <c r="E48" s="70">
        <f>C48+E46</f>
        <v>25372.228912730548</v>
      </c>
      <c r="F48" s="72"/>
      <c r="G48" s="72"/>
      <c r="U48" s="25">
        <f>+U47+180</f>
        <v>360</v>
      </c>
      <c r="V48" s="24">
        <v>3.0000000000000002E-2</v>
      </c>
      <c r="W48" s="26">
        <f>IF(($C$33&gt;$Y$47)*AND($C$33&lt;$Z$47),$V$47,$V$48)</f>
        <v>3.0000000000000002E-2</v>
      </c>
      <c r="X48" s="26">
        <f>+IF(C$33&lt;=U47,0,W48)</f>
        <v>3.0000000000000002E-2</v>
      </c>
      <c r="Y48" s="18">
        <v>540</v>
      </c>
      <c r="Z48" s="18">
        <v>720</v>
      </c>
      <c r="AA48" s="18"/>
      <c r="AB48" s="18"/>
      <c r="AC48" s="18"/>
    </row>
    <row r="49" spans="2:29" ht="15.95" customHeight="1" x14ac:dyDescent="0.25">
      <c r="B49" s="47" t="s">
        <v>11</v>
      </c>
      <c r="C49" s="69">
        <f>+C46</f>
        <v>25000</v>
      </c>
      <c r="D49" s="69">
        <f>+D46</f>
        <v>217.80125229001746</v>
      </c>
      <c r="E49" s="69">
        <f>+E46</f>
        <v>372.22891273054893</v>
      </c>
      <c r="F49" s="70">
        <f>C49+F46</f>
        <v>25403.001791126968</v>
      </c>
      <c r="G49" s="72"/>
      <c r="U49" s="27">
        <f>+U48+180</f>
        <v>540</v>
      </c>
      <c r="V49" s="24">
        <v>3.2500000000000001E-2</v>
      </c>
      <c r="W49" s="28">
        <f>IF(($C$33&gt;$Y$47)*AND($C$33&lt;$Y$48),$V$48,$V$49)</f>
        <v>3.2500000000000001E-2</v>
      </c>
      <c r="X49" s="28">
        <f>+IF(C$33&lt;=U48,0,W49)</f>
        <v>3.2500000000000001E-2</v>
      </c>
      <c r="Z49" s="20"/>
    </row>
    <row r="50" spans="2:29" ht="15.95" customHeight="1" x14ac:dyDescent="0.25">
      <c r="B50" s="47" t="s">
        <v>12</v>
      </c>
      <c r="C50" s="69">
        <f>+C46</f>
        <v>25000</v>
      </c>
      <c r="D50" s="69">
        <f>+D46</f>
        <v>217.80125229001746</v>
      </c>
      <c r="E50" s="69">
        <f>+E46</f>
        <v>372.22891273054893</v>
      </c>
      <c r="F50" s="69">
        <f>+F46</f>
        <v>403.00179112696679</v>
      </c>
      <c r="G50" s="70">
        <f>C50+G46</f>
        <v>25433.737436719755</v>
      </c>
      <c r="U50" s="25">
        <f>+U49+180</f>
        <v>720</v>
      </c>
      <c r="V50" s="24">
        <v>3.5000000000000003E-2</v>
      </c>
      <c r="W50" s="26">
        <f>IF(($C$33&gt;$Y$47)*AND($C$33&lt;$Z$48),$V$49,$V$50)</f>
        <v>3.5000000000000003E-2</v>
      </c>
      <c r="X50" s="26">
        <f>+IF(C$33&lt;=U49,0,W50)</f>
        <v>3.5000000000000003E-2</v>
      </c>
    </row>
    <row r="51" spans="2:29" ht="15.95" customHeight="1" x14ac:dyDescent="0.25">
      <c r="B51" s="49" t="s">
        <v>40</v>
      </c>
      <c r="C51" s="32"/>
      <c r="D51" s="32"/>
      <c r="E51" s="32"/>
      <c r="F51" s="32"/>
      <c r="G51" s="32"/>
    </row>
    <row r="52" spans="2:29" ht="30" customHeight="1" x14ac:dyDescent="0.25">
      <c r="B52" s="78" t="s">
        <v>39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X52" s="3"/>
    </row>
    <row r="53" spans="2:29" ht="15.95" customHeight="1" x14ac:dyDescent="0.25">
      <c r="X53" s="3"/>
    </row>
    <row r="54" spans="2:29" ht="15.95" customHeight="1" x14ac:dyDescent="0.25">
      <c r="B54" s="3" t="s">
        <v>41</v>
      </c>
      <c r="X54" s="3"/>
    </row>
    <row r="56" spans="2:29" s="15" customFormat="1" ht="15" x14ac:dyDescent="0.25">
      <c r="B56" s="3"/>
      <c r="C56" s="3"/>
      <c r="D56" s="3"/>
      <c r="E56" s="3"/>
      <c r="F56" s="3"/>
      <c r="G56" s="3"/>
      <c r="U56" s="18"/>
      <c r="V56" s="18"/>
      <c r="W56" s="18"/>
      <c r="X56" s="18"/>
      <c r="Y56" s="18"/>
      <c r="Z56" s="18"/>
      <c r="AA56" s="18"/>
      <c r="AB56" s="18"/>
      <c r="AC56" s="18"/>
    </row>
    <row r="58" spans="2:29" ht="15.95" customHeight="1" x14ac:dyDescent="0.25">
      <c r="O58" s="18"/>
      <c r="P58" s="18"/>
      <c r="Q58" s="18"/>
      <c r="R58" s="18"/>
      <c r="T58" s="18"/>
      <c r="Y58" s="3"/>
      <c r="Z58" s="3"/>
      <c r="AA58" s="3"/>
      <c r="AB58" s="3"/>
      <c r="AC58" s="3"/>
    </row>
    <row r="59" spans="2:29" ht="15.95" customHeight="1" x14ac:dyDescent="0.25">
      <c r="O59" s="18"/>
      <c r="P59" s="18"/>
      <c r="Q59" s="18"/>
      <c r="R59" s="18"/>
      <c r="T59" s="18"/>
      <c r="Y59" s="3"/>
      <c r="Z59" s="3"/>
      <c r="AA59" s="3"/>
      <c r="AB59" s="3"/>
      <c r="AC59" s="3"/>
    </row>
    <row r="60" spans="2:29" ht="15.95" customHeight="1" x14ac:dyDescent="0.25">
      <c r="O60" s="18"/>
      <c r="P60" s="18"/>
      <c r="Q60" s="18"/>
      <c r="R60" s="18"/>
      <c r="T60" s="18"/>
      <c r="Y60" s="3"/>
      <c r="Z60" s="3"/>
      <c r="AA60" s="3"/>
      <c r="AB60" s="3"/>
      <c r="AC60" s="3"/>
    </row>
  </sheetData>
  <sheetProtection algorithmName="SHA-512" hashValue="Q6kNtduccAXc0OkRFIR+dzy6WlWAuZPYNM6pUY9txCQLrLn6Kgx4CZTAYHmcZJEWpwnJMx57BnUu0sj4KbzHDg==" saltValue="Y8G03ZphI0Va48v5mvMzJA==" spinCount="100000" sheet="1" objects="1" scenarios="1" selectLockedCells="1"/>
  <mergeCells count="10">
    <mergeCell ref="D15:E15"/>
    <mergeCell ref="D18:E18"/>
    <mergeCell ref="D39:G39"/>
    <mergeCell ref="D21:E21"/>
    <mergeCell ref="B26:O26"/>
    <mergeCell ref="B52:O52"/>
    <mergeCell ref="D45:G45"/>
    <mergeCell ref="V21:X21"/>
    <mergeCell ref="V45:X45"/>
    <mergeCell ref="D42:G42"/>
  </mergeCells>
  <conditionalFormatting sqref="D13:E13">
    <cfRule type="cellIs" dxfId="15" priority="11" operator="equal">
      <formula>0.005</formula>
    </cfRule>
    <cfRule type="cellIs" dxfId="14" priority="12" operator="equal">
      <formula>0</formula>
    </cfRule>
  </conditionalFormatting>
  <conditionalFormatting sqref="D37 F37:G37">
    <cfRule type="cellIs" dxfId="13" priority="7" operator="equal">
      <formula>0.005</formula>
    </cfRule>
    <cfRule type="cellIs" dxfId="12" priority="8" operator="equal">
      <formula>0</formula>
    </cfRule>
  </conditionalFormatting>
  <conditionalFormatting sqref="E37">
    <cfRule type="cellIs" dxfId="11" priority="4" operator="equal">
      <formula>0.005</formula>
    </cfRule>
    <cfRule type="cellIs" dxfId="10" priority="5" operator="equal">
      <formula>0</formula>
    </cfRule>
  </conditionalFormatting>
  <conditionalFormatting sqref="E13 E37">
    <cfRule type="cellIs" dxfId="9" priority="45" operator="equal">
      <formula>$X$23</formula>
    </cfRule>
  </conditionalFormatting>
  <conditionalFormatting sqref="F37">
    <cfRule type="cellIs" dxfId="8" priority="46" operator="equal">
      <formula>$V$48</formula>
    </cfRule>
  </conditionalFormatting>
  <conditionalFormatting sqref="G37">
    <cfRule type="cellIs" dxfId="7" priority="48" operator="equal">
      <formula>$V$49</formula>
    </cfRule>
  </conditionalFormatting>
  <dataValidations count="3">
    <dataValidation type="whole" operator="greaterThanOrEqual" allowBlank="1" showInputMessage="1" showErrorMessage="1" errorTitle="Monto Mínimo" error="El monto mínimo de apertura es S/ 25,000.00" sqref="C46 C22" xr:uid="{00000000-0002-0000-0100-000000000000}">
      <formula1>25000</formula1>
    </dataValidation>
    <dataValidation type="whole" operator="lessThanOrEqual" allowBlank="1" showInputMessage="1" showErrorMessage="1" error="Plazo máximo 360 días" sqref="C9" xr:uid="{00000000-0002-0000-0100-000001000000}">
      <formula1>360</formula1>
    </dataValidation>
    <dataValidation type="whole" operator="lessThanOrEqual" allowBlank="1" showInputMessage="1" showErrorMessage="1" error="Plazo máximo 720 días" sqref="C33" xr:uid="{00000000-0002-0000-0100-000002000000}">
      <formula1>720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5:AE34"/>
  <sheetViews>
    <sheetView showGridLines="0" zoomScaleNormal="100" workbookViewId="0">
      <selection activeCell="C9" sqref="C9"/>
    </sheetView>
  </sheetViews>
  <sheetFormatPr baseColWidth="10" defaultRowHeight="15.75" customHeight="1" x14ac:dyDescent="0.25"/>
  <cols>
    <col min="1" max="1" width="1.140625" style="3" customWidth="1"/>
    <col min="2" max="2" width="14" style="3" customWidth="1"/>
    <col min="3" max="7" width="15.5703125" style="3" customWidth="1"/>
    <col min="8" max="11" width="14.5703125" style="3" customWidth="1"/>
    <col min="12" max="22" width="11.42578125" style="3" customWidth="1"/>
    <col min="23" max="26" width="8.7109375" style="18" hidden="1" customWidth="1"/>
    <col min="27" max="28" width="5.7109375" style="18" hidden="1" customWidth="1"/>
    <col min="29" max="31" width="12.42578125" style="18" customWidth="1"/>
    <col min="32" max="16384" width="11.42578125" style="3"/>
  </cols>
  <sheetData>
    <row r="5" spans="2:31" ht="15.75" customHeight="1" x14ac:dyDescent="0.25">
      <c r="B5" s="31" t="s">
        <v>35</v>
      </c>
      <c r="C5" s="32"/>
      <c r="D5" s="32"/>
      <c r="E5" s="32"/>
      <c r="F5" s="32"/>
      <c r="G5" s="32"/>
    </row>
    <row r="6" spans="2:31" ht="15.75" customHeight="1" x14ac:dyDescent="0.25">
      <c r="B6" s="39"/>
      <c r="C6" s="32"/>
      <c r="D6" s="32"/>
      <c r="E6" s="32"/>
      <c r="F6" s="32"/>
      <c r="G6" s="32"/>
      <c r="W6" s="19"/>
      <c r="X6" s="19"/>
      <c r="Y6" s="19"/>
      <c r="Z6" s="19"/>
      <c r="AA6" s="19"/>
      <c r="AB6" s="19"/>
      <c r="AC6" s="19"/>
      <c r="AD6" s="19"/>
      <c r="AE6" s="19"/>
    </row>
    <row r="7" spans="2:31" ht="15.75" customHeight="1" x14ac:dyDescent="0.25">
      <c r="B7" s="57" t="s">
        <v>0</v>
      </c>
      <c r="C7" s="57" t="s">
        <v>1</v>
      </c>
      <c r="D7" s="32"/>
      <c r="E7" s="32"/>
      <c r="F7" s="32"/>
      <c r="G7" s="32"/>
      <c r="W7" s="19"/>
      <c r="X7" s="19"/>
      <c r="Y7" s="19"/>
      <c r="Z7" s="19"/>
      <c r="AA7" s="19"/>
      <c r="AB7" s="19"/>
      <c r="AC7" s="19"/>
      <c r="AD7" s="19"/>
      <c r="AE7" s="19"/>
    </row>
    <row r="8" spans="2:31" ht="15.75" customHeight="1" x14ac:dyDescent="0.25">
      <c r="B8" s="57" t="s">
        <v>6</v>
      </c>
      <c r="C8" s="57" t="s">
        <v>7</v>
      </c>
      <c r="D8" s="32"/>
      <c r="E8" s="32"/>
      <c r="F8" s="32"/>
      <c r="G8" s="32"/>
      <c r="W8" s="19"/>
      <c r="X8" s="19"/>
      <c r="Y8" s="19"/>
      <c r="Z8" s="19"/>
      <c r="AA8" s="19"/>
      <c r="AB8" s="19"/>
      <c r="AC8" s="19"/>
      <c r="AD8" s="19"/>
      <c r="AE8" s="19"/>
    </row>
    <row r="9" spans="2:31" s="4" customFormat="1" ht="15.75" customHeight="1" x14ac:dyDescent="0.25">
      <c r="B9" s="57" t="s">
        <v>19</v>
      </c>
      <c r="C9" s="30">
        <v>360</v>
      </c>
      <c r="D9" s="75" t="s">
        <v>27</v>
      </c>
      <c r="W9" s="18"/>
      <c r="X9" s="18"/>
      <c r="Y9" s="18"/>
      <c r="Z9" s="18"/>
      <c r="AA9" s="18"/>
      <c r="AB9" s="18"/>
      <c r="AC9" s="18"/>
      <c r="AD9" s="18"/>
      <c r="AE9" s="18"/>
    </row>
    <row r="10" spans="2:31" s="4" customFormat="1" ht="15.75" customHeight="1" x14ac:dyDescent="0.25">
      <c r="B10" s="52"/>
      <c r="W10" s="18"/>
      <c r="X10" s="18"/>
      <c r="Y10" s="18"/>
      <c r="Z10" s="18"/>
      <c r="AA10" s="18"/>
      <c r="AB10" s="18"/>
      <c r="AC10" s="18"/>
      <c r="AD10" s="18"/>
      <c r="AE10" s="18"/>
    </row>
    <row r="11" spans="2:31" ht="15.75" customHeight="1" x14ac:dyDescent="0.25">
      <c r="B11" s="32"/>
      <c r="C11" s="53" t="s">
        <v>3</v>
      </c>
      <c r="D11" s="33">
        <f>+IF(C9&gt;AA23,AA23,C9)</f>
        <v>90</v>
      </c>
      <c r="E11" s="33">
        <f>+IF(AND(C9&gt;AA23,C9&lt;AB23+1),C9,AB23)</f>
        <v>180</v>
      </c>
      <c r="F11" s="33">
        <f>+IF(AND(C9&gt;AB23,C9&lt;AA24+1),C9,AA24)</f>
        <v>270</v>
      </c>
      <c r="G11" s="33">
        <f>+IF(AND(C9&gt;AA24,C9&lt;AB24+1),C9,AB24)</f>
        <v>360</v>
      </c>
      <c r="W11" s="20"/>
      <c r="X11" s="20"/>
    </row>
    <row r="12" spans="2:31" ht="6.75" customHeight="1" x14ac:dyDescent="0.25">
      <c r="B12" s="32"/>
      <c r="C12" s="32"/>
      <c r="D12" s="34"/>
      <c r="E12" s="32"/>
      <c r="F12" s="32"/>
      <c r="G12" s="32"/>
    </row>
    <row r="13" spans="2:31" s="10" customFormat="1" ht="15.75" customHeight="1" x14ac:dyDescent="0.25">
      <c r="B13" s="33" t="s">
        <v>34</v>
      </c>
      <c r="C13" s="35" t="s">
        <v>4</v>
      </c>
      <c r="D13" s="36">
        <f>+Z23</f>
        <v>2.5000000000000001E-3</v>
      </c>
      <c r="E13" s="36">
        <f>+Z24</f>
        <v>4.5000000000000005E-3</v>
      </c>
      <c r="F13" s="36">
        <f>+Z25</f>
        <v>5.4999999999999997E-3</v>
      </c>
      <c r="G13" s="36">
        <f>+Z26</f>
        <v>7.0000000000000001E-3</v>
      </c>
      <c r="AC13" s="18"/>
      <c r="AD13" s="18"/>
      <c r="AE13" s="18"/>
    </row>
    <row r="14" spans="2:31" ht="6.75" customHeight="1" x14ac:dyDescent="0.25">
      <c r="B14" s="32"/>
      <c r="C14" s="32"/>
      <c r="D14" s="32"/>
      <c r="E14" s="32"/>
      <c r="F14" s="32"/>
      <c r="G14" s="32"/>
    </row>
    <row r="15" spans="2:31" s="4" customFormat="1" ht="15.75" customHeight="1" x14ac:dyDescent="0.25">
      <c r="B15" s="32"/>
      <c r="C15" s="56" t="s">
        <v>8</v>
      </c>
      <c r="D15" s="79" t="s">
        <v>13</v>
      </c>
      <c r="E15" s="80"/>
      <c r="F15" s="80"/>
      <c r="G15" s="81"/>
      <c r="H15" s="3"/>
      <c r="I15" s="3"/>
      <c r="J15" s="3"/>
      <c r="K15" s="3"/>
      <c r="L15" s="3"/>
      <c r="AC15" s="18"/>
      <c r="AD15" s="18"/>
      <c r="AE15" s="18"/>
    </row>
    <row r="16" spans="2:31" ht="15.75" customHeight="1" x14ac:dyDescent="0.25">
      <c r="B16" s="56" t="s">
        <v>5</v>
      </c>
      <c r="C16" s="46">
        <v>45001</v>
      </c>
      <c r="D16" s="37">
        <f>+C16+D11</f>
        <v>45091</v>
      </c>
      <c r="E16" s="37">
        <f>+D16+E11-D11</f>
        <v>45181</v>
      </c>
      <c r="F16" s="37">
        <f t="shared" ref="F16:G16" si="0">+E16+F11-E11</f>
        <v>45271</v>
      </c>
      <c r="G16" s="37">
        <f t="shared" si="0"/>
        <v>45361</v>
      </c>
      <c r="H16" s="29"/>
      <c r="AC16" s="20"/>
      <c r="AD16" s="20"/>
      <c r="AE16" s="20"/>
    </row>
    <row r="17" spans="2:31" ht="6.75" customHeight="1" x14ac:dyDescent="0.25">
      <c r="U17" s="20"/>
      <c r="V17" s="20"/>
      <c r="AC17" s="3"/>
      <c r="AD17" s="3"/>
      <c r="AE17" s="3"/>
    </row>
    <row r="18" spans="2:31" ht="15.75" customHeight="1" x14ac:dyDescent="0.25">
      <c r="D18" s="82" t="s">
        <v>3</v>
      </c>
      <c r="E18" s="82"/>
      <c r="F18" s="82"/>
      <c r="G18" s="82"/>
    </row>
    <row r="19" spans="2:31" ht="15.75" customHeight="1" x14ac:dyDescent="0.25">
      <c r="B19" s="6"/>
      <c r="C19" s="4"/>
      <c r="D19" s="56">
        <f>D11</f>
        <v>90</v>
      </c>
      <c r="E19" s="56">
        <f>E11</f>
        <v>180</v>
      </c>
      <c r="F19" s="56">
        <f>F11</f>
        <v>270</v>
      </c>
      <c r="G19" s="56">
        <f>G11</f>
        <v>360</v>
      </c>
    </row>
    <row r="20" spans="2:31" ht="6.75" customHeight="1" x14ac:dyDescent="0.25">
      <c r="U20" s="20"/>
      <c r="V20" s="20"/>
      <c r="W20" s="20"/>
      <c r="X20" s="20"/>
      <c r="Y20" s="3"/>
      <c r="Z20" s="20"/>
      <c r="AA20" s="3"/>
      <c r="AB20" s="3"/>
      <c r="AC20" s="3"/>
      <c r="AD20" s="3"/>
      <c r="AE20" s="3"/>
    </row>
    <row r="21" spans="2:31" ht="15.75" customHeight="1" x14ac:dyDescent="0.25">
      <c r="B21" s="54"/>
      <c r="C21" s="38" t="s">
        <v>32</v>
      </c>
      <c r="D21" s="79" t="s">
        <v>31</v>
      </c>
      <c r="E21" s="80"/>
      <c r="F21" s="80"/>
      <c r="G21" s="81"/>
      <c r="X21" s="84" t="s">
        <v>25</v>
      </c>
      <c r="Y21" s="85"/>
      <c r="Z21" s="86"/>
    </row>
    <row r="22" spans="2:31" ht="30" x14ac:dyDescent="0.25">
      <c r="B22" s="50" t="s">
        <v>33</v>
      </c>
      <c r="C22" s="63">
        <v>10000</v>
      </c>
      <c r="D22" s="64">
        <f>+$C$22*((1+D13)^(D11/ 360)-1)</f>
        <v>6.2441491552633899</v>
      </c>
      <c r="E22" s="64">
        <f>+$C$22*((1+E13)^((E11-D11)/ 360)-1)</f>
        <v>11.231065305328247</v>
      </c>
      <c r="F22" s="64">
        <f>+$C$22*((1+F13)^((F11-E11)/ 360)-1)</f>
        <v>13.7217312686988</v>
      </c>
      <c r="G22" s="64">
        <f>+$C$22*((1+G13)^((G11-F11)/ 360)-1)</f>
        <v>17.454249180117731</v>
      </c>
      <c r="H22" s="15"/>
      <c r="I22" s="15"/>
      <c r="J22" s="15"/>
      <c r="K22" s="15"/>
      <c r="L22" s="15"/>
      <c r="X22" s="23" t="s">
        <v>24</v>
      </c>
      <c r="Y22" s="21" t="s">
        <v>21</v>
      </c>
      <c r="Z22" s="21" t="s">
        <v>22</v>
      </c>
    </row>
    <row r="23" spans="2:31" ht="15.75" customHeight="1" x14ac:dyDescent="0.25">
      <c r="B23" s="57" t="s">
        <v>9</v>
      </c>
      <c r="C23" s="65">
        <f>+C22</f>
        <v>10000</v>
      </c>
      <c r="D23" s="66">
        <f>+C23+D22</f>
        <v>10006.244149155264</v>
      </c>
      <c r="E23" s="72"/>
      <c r="F23" s="72"/>
      <c r="G23" s="72"/>
      <c r="W23" s="27">
        <v>90</v>
      </c>
      <c r="X23" s="24">
        <v>2.5000000000000001E-3</v>
      </c>
      <c r="Y23" s="28">
        <f>+IF(($C$9&lt;$AA$23)*AND($C$9&gt;30),0.1%,IF($C$9&lt;31,0%,$X$23))</f>
        <v>2.5000000000000001E-3</v>
      </c>
      <c r="Z23" s="28">
        <f>+Y23</f>
        <v>2.5000000000000001E-3</v>
      </c>
      <c r="AA23" s="20">
        <v>90</v>
      </c>
      <c r="AB23" s="18">
        <v>180</v>
      </c>
    </row>
    <row r="24" spans="2:31" ht="15.75" customHeight="1" x14ac:dyDescent="0.25">
      <c r="B24" s="57" t="s">
        <v>10</v>
      </c>
      <c r="C24" s="65">
        <f>+C22</f>
        <v>10000</v>
      </c>
      <c r="D24" s="65">
        <f>+D22</f>
        <v>6.2441491552633899</v>
      </c>
      <c r="E24" s="66">
        <f>+C24+E22</f>
        <v>10011.231065305328</v>
      </c>
      <c r="F24" s="72"/>
      <c r="G24" s="72"/>
      <c r="W24" s="25">
        <f>+W23+90</f>
        <v>180</v>
      </c>
      <c r="X24" s="24">
        <v>4.5000000000000005E-3</v>
      </c>
      <c r="Y24" s="26">
        <f>IF(($C$9&gt;$AA$23)*AND($C$9&lt;$AB$23),$X$23,$X$24)</f>
        <v>4.5000000000000005E-3</v>
      </c>
      <c r="Z24" s="26">
        <f>+IF(C$9&lt;=W23,0,Y24)</f>
        <v>4.5000000000000005E-3</v>
      </c>
      <c r="AA24" s="18">
        <v>270</v>
      </c>
      <c r="AB24" s="18">
        <v>360</v>
      </c>
    </row>
    <row r="25" spans="2:31" ht="15.75" customHeight="1" x14ac:dyDescent="0.25">
      <c r="B25" s="57" t="s">
        <v>11</v>
      </c>
      <c r="C25" s="65">
        <f>+C22</f>
        <v>10000</v>
      </c>
      <c r="D25" s="65">
        <f>+D22</f>
        <v>6.2441491552633899</v>
      </c>
      <c r="E25" s="65">
        <f>+E22</f>
        <v>11.231065305328247</v>
      </c>
      <c r="F25" s="66">
        <f>C25+F22</f>
        <v>10013.721731268699</v>
      </c>
      <c r="G25" s="72"/>
      <c r="W25" s="27">
        <f>+W24+90</f>
        <v>270</v>
      </c>
      <c r="X25" s="24">
        <v>5.4999999999999997E-3</v>
      </c>
      <c r="Y25" s="28">
        <f>IF(($C$9&gt;$AA$23)*AND($C$9&lt;$AA$24),$X$24,$X$25)</f>
        <v>5.4999999999999997E-3</v>
      </c>
      <c r="Z25" s="28">
        <f>+IF(C$9&lt;=W24,0,Y25)</f>
        <v>5.4999999999999997E-3</v>
      </c>
      <c r="AA25" s="3"/>
      <c r="AB25" s="3"/>
    </row>
    <row r="26" spans="2:31" s="15" customFormat="1" ht="15" x14ac:dyDescent="0.25">
      <c r="B26" s="57" t="s">
        <v>12</v>
      </c>
      <c r="C26" s="65">
        <f>+C22</f>
        <v>10000</v>
      </c>
      <c r="D26" s="65">
        <f>+D22</f>
        <v>6.2441491552633899</v>
      </c>
      <c r="E26" s="65">
        <f>+E22</f>
        <v>11.231065305328247</v>
      </c>
      <c r="F26" s="65">
        <f>+F22</f>
        <v>13.7217312686988</v>
      </c>
      <c r="G26" s="66">
        <f>C26+G22</f>
        <v>10017.454249180118</v>
      </c>
      <c r="H26" s="3"/>
      <c r="I26" s="3"/>
      <c r="J26" s="3"/>
      <c r="K26" s="3"/>
      <c r="L26" s="3"/>
      <c r="W26" s="25">
        <f>+W25+90</f>
        <v>360</v>
      </c>
      <c r="X26" s="24">
        <v>7.0000000000000001E-3</v>
      </c>
      <c r="Y26" s="26">
        <f>IF(($C$9&gt;$AA$23)*AND($C$9&lt;$AB$24),$X$25,$X$26)</f>
        <v>7.0000000000000001E-3</v>
      </c>
      <c r="Z26" s="26">
        <f>+IF(C$9&lt;=W25,0,Y26)</f>
        <v>7.0000000000000001E-3</v>
      </c>
      <c r="AA26" s="18"/>
      <c r="AB26" s="18"/>
    </row>
    <row r="27" spans="2:31" ht="15" x14ac:dyDescent="0.25">
      <c r="B27" s="49" t="s">
        <v>40</v>
      </c>
      <c r="C27" s="51"/>
      <c r="D27" s="51"/>
      <c r="E27" s="32"/>
      <c r="F27" s="6"/>
      <c r="G27" s="6"/>
      <c r="AC27" s="3"/>
      <c r="AD27" s="3"/>
      <c r="AE27" s="3"/>
    </row>
    <row r="28" spans="2:31" ht="28.5" customHeight="1" x14ac:dyDescent="0.25">
      <c r="B28" s="78" t="s">
        <v>39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2:31" ht="15" x14ac:dyDescent="0.25">
      <c r="B29" s="49"/>
      <c r="C29" s="32"/>
      <c r="D29" s="32"/>
      <c r="E29" s="58"/>
      <c r="F29" s="59"/>
      <c r="G29" s="32"/>
    </row>
    <row r="30" spans="2:31" ht="15.75" customHeight="1" x14ac:dyDescent="0.25">
      <c r="B30" s="3" t="s">
        <v>41</v>
      </c>
      <c r="D30" s="60"/>
      <c r="E30" s="60"/>
      <c r="F30" s="60"/>
      <c r="G30" s="60"/>
    </row>
    <row r="31" spans="2:31" ht="15.75" customHeight="1" x14ac:dyDescent="0.25">
      <c r="E31" s="61"/>
    </row>
    <row r="32" spans="2:31" ht="15.75" customHeight="1" x14ac:dyDescent="0.25">
      <c r="E32" s="61"/>
    </row>
    <row r="33" spans="5:31" ht="15.75" customHeight="1" x14ac:dyDescent="0.25">
      <c r="E33" s="61"/>
      <c r="M33" s="18"/>
      <c r="N33" s="18"/>
      <c r="O33" s="18"/>
      <c r="P33" s="18"/>
      <c r="Q33" s="18"/>
      <c r="R33" s="18"/>
      <c r="S33" s="18"/>
      <c r="T33" s="18"/>
      <c r="AA33" s="3"/>
      <c r="AB33" s="3"/>
      <c r="AC33" s="3"/>
      <c r="AD33" s="3"/>
      <c r="AE33" s="3"/>
    </row>
    <row r="34" spans="5:31" ht="15.75" customHeight="1" x14ac:dyDescent="0.25">
      <c r="E34" s="62"/>
    </row>
  </sheetData>
  <sheetProtection algorithmName="SHA-512" hashValue="I6nlSxmJqSIQKIcb2AQbI+OX19ULcHJ6dAeob6ya3Io8T2vwTXWAVaP4FY6fg1sPvO+XjCFhB+Kl59kOd+bsiQ==" saltValue="t2aEfcfoHjMsOfK0OI8zJw==" spinCount="100000" sheet="1" objects="1" scenarios="1" selectLockedCells="1"/>
  <mergeCells count="5">
    <mergeCell ref="X21:Z21"/>
    <mergeCell ref="D15:G15"/>
    <mergeCell ref="D18:G18"/>
    <mergeCell ref="D21:G21"/>
    <mergeCell ref="B28:N28"/>
  </mergeCells>
  <conditionalFormatting sqref="D13 F13:G13">
    <cfRule type="cellIs" dxfId="6" priority="6" operator="equal">
      <formula>0.001</formula>
    </cfRule>
    <cfRule type="cellIs" dxfId="5" priority="7" operator="equal">
      <formula>0</formula>
    </cfRule>
  </conditionalFormatting>
  <conditionalFormatting sqref="E13">
    <cfRule type="cellIs" dxfId="4" priority="49" operator="equal">
      <formula>$X$23</formula>
    </cfRule>
    <cfRule type="cellIs" dxfId="3" priority="50" operator="equal">
      <formula>0.001</formula>
    </cfRule>
    <cfRule type="cellIs" dxfId="2" priority="51" operator="equal">
      <formula>0</formula>
    </cfRule>
  </conditionalFormatting>
  <conditionalFormatting sqref="F13">
    <cfRule type="cellIs" dxfId="1" priority="52" operator="equal">
      <formula>$X$24</formula>
    </cfRule>
  </conditionalFormatting>
  <conditionalFormatting sqref="G13">
    <cfRule type="cellIs" dxfId="0" priority="54" operator="equal">
      <formula>$X$25</formula>
    </cfRule>
  </conditionalFormatting>
  <dataValidations count="2">
    <dataValidation type="whole" operator="greaterThanOrEqual" allowBlank="1" showErrorMessage="1" errorTitle="Monto mínimo" error="El monto mínimo de apertura es $ 10,000.00" sqref="C22" xr:uid="{00000000-0002-0000-0200-000000000000}">
      <formula1>10000</formula1>
    </dataValidation>
    <dataValidation type="whole" operator="lessThanOrEqual" allowBlank="1" showInputMessage="1" showErrorMessage="1" error="Plazo máximo 360 días" sqref="C9" xr:uid="{00000000-0002-0000-0200-000001000000}">
      <formula1>360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TRIMESTRAL - Soles</vt:lpstr>
      <vt:lpstr>SEMESTRAL - Soles</vt:lpstr>
      <vt:lpstr>TRIMESTRAL - Dólares</vt:lpstr>
    </vt:vector>
  </TitlesOfParts>
  <Company>BANCO GNB PERU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Consigliere Gonzales</dc:creator>
  <cp:lastModifiedBy>Yojany Marin Rosales</cp:lastModifiedBy>
  <dcterms:created xsi:type="dcterms:W3CDTF">2019-10-30T14:28:27Z</dcterms:created>
  <dcterms:modified xsi:type="dcterms:W3CDTF">2023-02-27T16:27:22Z</dcterms:modified>
</cp:coreProperties>
</file>