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45751842\Desktop\Yojany\Tarifario\Cambio PASIVOS - Personas\Rolando\Abr-21\"/>
    </mc:Choice>
  </mc:AlternateContent>
  <bookViews>
    <workbookView xWindow="-120" yWindow="-120" windowWidth="20700" windowHeight="11160"/>
  </bookViews>
  <sheets>
    <sheet name="Simulador" sheetId="1" r:id="rId1"/>
    <sheet name="Tablas" sheetId="2" state="hidden" r:id="rId2"/>
    <sheet name="Calculo" sheetId="3" state="hidden" r:id="rId3"/>
  </sheets>
  <definedNames>
    <definedName name="_xlnm.Print_Area" localSheetId="0">Simulador!$A$1:$K$33</definedName>
    <definedName name="CTS">Tablas!$Z$3:$Z$4</definedName>
    <definedName name="DIAS">Tablas!$L$4:$L$13</definedName>
    <definedName name="ENVIO">Tablas!$Z$3:$Z$6</definedName>
    <definedName name="MOD">Tablas!$C$3:$C$5</definedName>
    <definedName name="MONEDA">Tablas!$B$3:$B$4</definedName>
    <definedName name="MONTO_MIN">Tablas!$F$11</definedName>
    <definedName name="NOAP">Tablas!$Z$7</definedName>
    <definedName name="PEN">Tablas!$B$3</definedName>
    <definedName name="PROD">Tablas!$A$3:$A$8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1" l="1"/>
  <c r="J11" i="2" l="1"/>
  <c r="E25" i="3" l="1"/>
  <c r="E26" i="3"/>
  <c r="E27" i="3"/>
  <c r="E28" i="3"/>
  <c r="E29" i="3"/>
  <c r="E30" i="3"/>
  <c r="E31" i="3"/>
  <c r="E32" i="3"/>
  <c r="E33" i="3"/>
  <c r="E34" i="3"/>
  <c r="E35" i="3"/>
  <c r="E36" i="3"/>
  <c r="E37" i="3"/>
  <c r="D20" i="1" l="1"/>
  <c r="C21" i="1" s="1" a="1"/>
  <c r="C21" i="1" s="1"/>
  <c r="D25" i="3" l="1"/>
  <c r="D28" i="3"/>
  <c r="D30" i="3"/>
  <c r="D32" i="3"/>
  <c r="D34" i="3"/>
  <c r="D36" i="3"/>
  <c r="D27" i="3"/>
  <c r="D26" i="3"/>
  <c r="D29" i="3"/>
  <c r="D31" i="3"/>
  <c r="D33" i="3"/>
  <c r="D35" i="3"/>
  <c r="D37" i="3"/>
  <c r="D3" i="3"/>
  <c r="C18" i="1"/>
  <c r="F11" i="2"/>
  <c r="D19" i="3" l="1"/>
  <c r="D11" i="3"/>
  <c r="D2" i="3"/>
  <c r="D22" i="3"/>
  <c r="D18" i="3"/>
  <c r="D14" i="3"/>
  <c r="D10" i="3"/>
  <c r="D6" i="3"/>
  <c r="D21" i="3"/>
  <c r="D17" i="3"/>
  <c r="D13" i="3"/>
  <c r="D9" i="3"/>
  <c r="D5" i="3"/>
  <c r="D20" i="3"/>
  <c r="D12" i="3"/>
  <c r="D8" i="3"/>
  <c r="D4" i="3"/>
  <c r="D24" i="3"/>
  <c r="D16" i="3"/>
  <c r="D23" i="3"/>
  <c r="D15" i="3"/>
  <c r="D7" i="3"/>
  <c r="H2" i="1" l="1"/>
  <c r="J22" i="1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" i="3"/>
  <c r="H2" i="3" s="1"/>
  <c r="C2" i="3"/>
  <c r="F2" i="3" s="1"/>
  <c r="J21" i="1"/>
  <c r="J24" i="1"/>
  <c r="J18" i="1"/>
  <c r="I18" i="1"/>
  <c r="C26" i="1"/>
  <c r="B26" i="1"/>
  <c r="J19" i="1"/>
  <c r="J20" i="1"/>
  <c r="B25" i="1"/>
  <c r="H3" i="3" l="1"/>
  <c r="H4" i="3" s="1"/>
  <c r="H5" i="3" s="1"/>
  <c r="H6" i="3" s="1"/>
  <c r="H7" i="3" s="1"/>
  <c r="H8" i="3" s="1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H31" i="3" s="1"/>
  <c r="H32" i="3" s="1"/>
  <c r="H33" i="3" s="1"/>
  <c r="H34" i="3" s="1"/>
  <c r="H35" i="3" s="1"/>
  <c r="H36" i="3" s="1"/>
  <c r="H37" i="3" s="1"/>
  <c r="I22" i="1" s="1"/>
  <c r="I2" i="3"/>
  <c r="I3" i="3" s="1"/>
  <c r="I4" i="3" s="1"/>
  <c r="I5" i="3" s="1"/>
  <c r="I6" i="3" l="1"/>
  <c r="I7" i="3" s="1"/>
  <c r="I8" i="3" s="1"/>
  <c r="I9" i="3" s="1"/>
  <c r="I10" i="3" s="1"/>
  <c r="I11" i="3" s="1"/>
  <c r="I12" i="3" s="1"/>
  <c r="I13" i="3" s="1"/>
  <c r="I14" i="3" s="1"/>
  <c r="I15" i="3" s="1"/>
  <c r="I16" i="3" s="1"/>
  <c r="I17" i="3" s="1"/>
  <c r="I18" i="3" s="1"/>
  <c r="I19" i="3" s="1"/>
  <c r="I20" i="3" s="1"/>
  <c r="I21" i="3" s="1"/>
  <c r="I22" i="3" s="1"/>
  <c r="I23" i="3" s="1"/>
  <c r="I24" i="3" s="1"/>
  <c r="I25" i="3" s="1"/>
  <c r="I26" i="3" s="1"/>
  <c r="I27" i="3" s="1"/>
  <c r="I28" i="3" s="1"/>
  <c r="I29" i="3" s="1"/>
  <c r="I30" i="3" s="1"/>
  <c r="I31" i="3" s="1"/>
  <c r="I32" i="3" s="1"/>
  <c r="I33" i="3" s="1"/>
  <c r="I34" i="3" s="1"/>
  <c r="I35" i="3" s="1"/>
  <c r="I36" i="3" s="1"/>
  <c r="I37" i="3" s="1"/>
  <c r="I21" i="1" s="1"/>
  <c r="C3" i="3"/>
  <c r="F3" i="3" s="1"/>
  <c r="G2" i="3"/>
  <c r="I19" i="1" s="1"/>
  <c r="C4" i="3" l="1"/>
  <c r="F4" i="3" s="1"/>
  <c r="C5" i="3" l="1"/>
  <c r="F5" i="3" s="1"/>
  <c r="G3" i="3"/>
  <c r="G4" i="3" l="1"/>
  <c r="C6" i="3"/>
  <c r="F6" i="3" s="1"/>
  <c r="C7" i="3" l="1"/>
  <c r="F7" i="3" s="1"/>
  <c r="G5" i="3"/>
  <c r="G6" i="3" l="1"/>
  <c r="C8" i="3"/>
  <c r="F8" i="3" s="1"/>
  <c r="G7" i="3" l="1"/>
  <c r="C9" i="3"/>
  <c r="F9" i="3" s="1"/>
  <c r="C10" i="3" l="1"/>
  <c r="F10" i="3" s="1"/>
  <c r="G8" i="3"/>
  <c r="G9" i="3" l="1"/>
  <c r="C11" i="3"/>
  <c r="F11" i="3" s="1"/>
  <c r="G10" i="3" l="1"/>
  <c r="C12" i="3"/>
  <c r="F12" i="3" s="1"/>
  <c r="G11" i="3" l="1"/>
  <c r="C13" i="3"/>
  <c r="F13" i="3" s="1"/>
  <c r="G12" i="3" l="1"/>
  <c r="C14" i="3"/>
  <c r="F14" i="3" s="1"/>
  <c r="G13" i="3" l="1"/>
  <c r="J14" i="3"/>
  <c r="C22" i="1" s="1"/>
  <c r="C15" i="3"/>
  <c r="F15" i="3" s="1"/>
  <c r="C16" i="3" l="1"/>
  <c r="F16" i="3" s="1"/>
  <c r="G14" i="3"/>
  <c r="G15" i="3" l="1"/>
  <c r="C17" i="3"/>
  <c r="F17" i="3" s="1"/>
  <c r="C18" i="3" l="1"/>
  <c r="F18" i="3" s="1"/>
  <c r="G16" i="3"/>
  <c r="G17" i="3" l="1"/>
  <c r="C19" i="3"/>
  <c r="F19" i="3" s="1"/>
  <c r="C20" i="3" l="1"/>
  <c r="F20" i="3" s="1"/>
  <c r="G18" i="3"/>
  <c r="G19" i="3" l="1"/>
  <c r="C21" i="3"/>
  <c r="F21" i="3" s="1"/>
  <c r="C22" i="3" l="1"/>
  <c r="F22" i="3" s="1"/>
  <c r="G20" i="3"/>
  <c r="G21" i="3" l="1"/>
  <c r="C23" i="3"/>
  <c r="F23" i="3" s="1"/>
  <c r="G22" i="3" l="1"/>
  <c r="C24" i="3"/>
  <c r="F24" i="3" l="1"/>
  <c r="C25" i="3" s="1"/>
  <c r="G23" i="3"/>
  <c r="F25" i="3" l="1"/>
  <c r="G24" i="3"/>
  <c r="G25" i="3" l="1"/>
  <c r="C26" i="3"/>
  <c r="I20" i="1"/>
  <c r="F26" i="3" l="1"/>
  <c r="G26" i="3" s="1"/>
  <c r="C27" i="3" l="1"/>
  <c r="F27" i="3" l="1"/>
  <c r="G27" i="3" s="1"/>
  <c r="C28" i="3" l="1"/>
  <c r="F28" i="3" l="1"/>
  <c r="G28" i="3" s="1"/>
  <c r="C29" i="3" l="1"/>
  <c r="F29" i="3" l="1"/>
  <c r="G29" i="3" s="1"/>
  <c r="C30" i="3" l="1"/>
  <c r="F30" i="3" l="1"/>
  <c r="G30" i="3" s="1"/>
  <c r="C31" i="3" l="1"/>
  <c r="F31" i="3" l="1"/>
  <c r="G31" i="3" s="1"/>
  <c r="C32" i="3" l="1"/>
  <c r="F32" i="3" l="1"/>
  <c r="G32" i="3" s="1"/>
  <c r="C33" i="3" l="1"/>
  <c r="F33" i="3" l="1"/>
  <c r="G33" i="3" s="1"/>
  <c r="C34" i="3" l="1"/>
  <c r="F34" i="3" l="1"/>
  <c r="G34" i="3" s="1"/>
  <c r="C35" i="3" l="1"/>
  <c r="F35" i="3" l="1"/>
  <c r="G35" i="3" s="1"/>
  <c r="C36" i="3" l="1"/>
  <c r="F36" i="3" l="1"/>
  <c r="G36" i="3" s="1"/>
  <c r="C37" i="3" l="1"/>
  <c r="F37" i="3" l="1"/>
  <c r="G37" i="3" s="1"/>
  <c r="I24" i="1" s="1"/>
  <c r="C38" i="3" l="1"/>
</calcChain>
</file>

<file path=xl/sharedStrings.xml><?xml version="1.0" encoding="utf-8"?>
<sst xmlns="http://schemas.openxmlformats.org/spreadsheetml/2006/main" count="218" uniqueCount="111">
  <si>
    <t>Producto</t>
  </si>
  <si>
    <t>Productos</t>
  </si>
  <si>
    <t>Cuenta Ahorros</t>
  </si>
  <si>
    <t>Cuenta Sueldo</t>
  </si>
  <si>
    <t>Cuenta CTS</t>
  </si>
  <si>
    <t>Ahorro Hipotecario</t>
  </si>
  <si>
    <t>Moneda</t>
  </si>
  <si>
    <t>PEN</t>
  </si>
  <si>
    <t>USD</t>
  </si>
  <si>
    <t>Plazo</t>
  </si>
  <si>
    <t>Modalidad</t>
  </si>
  <si>
    <t>Pago Intereses al Vencimiento</t>
  </si>
  <si>
    <t>Pago Intereses Periódicos</t>
  </si>
  <si>
    <t>DPF</t>
  </si>
  <si>
    <t>TIEMPO</t>
  </si>
  <si>
    <t>Monto mínimo de apertura</t>
  </si>
  <si>
    <t>PRODUCTO</t>
  </si>
  <si>
    <t>días</t>
  </si>
  <si>
    <t>CUENTA</t>
  </si>
  <si>
    <t>CUENTAS</t>
  </si>
  <si>
    <t>Dato que bloquea celda</t>
  </si>
  <si>
    <t>CRITERIO</t>
  </si>
  <si>
    <t>CLASIFICACION</t>
  </si>
  <si>
    <t>CUENTA SUELDO</t>
  </si>
  <si>
    <t>CLASIFICACIÓN</t>
  </si>
  <si>
    <t>Depósito a Plazo Fijo</t>
  </si>
  <si>
    <t>Intereses generados</t>
  </si>
  <si>
    <t>Monto futuro generado</t>
  </si>
  <si>
    <t>TEA</t>
  </si>
  <si>
    <t>Para mayor información sobre nuestros productos, por favor acérquese a una de nuestras agencias.</t>
  </si>
  <si>
    <t>Saldo diario</t>
  </si>
  <si>
    <t>Comisión de mantenimiento</t>
  </si>
  <si>
    <t>Saldo final</t>
  </si>
  <si>
    <t>Leyenda</t>
  </si>
  <si>
    <t>1)</t>
  </si>
  <si>
    <t>Variables</t>
  </si>
  <si>
    <t>Resultados</t>
  </si>
  <si>
    <t>2)</t>
  </si>
  <si>
    <t>Pasos</t>
  </si>
  <si>
    <t>TREA*</t>
  </si>
  <si>
    <t>* La  TREA está calculada en base a 360 días.</t>
  </si>
  <si>
    <t>Saldo inicial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</si>
  <si>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</si>
  <si>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</si>
  <si>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</si>
  <si>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</si>
  <si>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</si>
  <si>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</si>
  <si>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</si>
  <si>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</si>
  <si>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</si>
  <si>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</si>
  <si>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</si>
  <si>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</si>
  <si>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</si>
  <si>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</si>
  <si>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</si>
  <si>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</si>
  <si>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</si>
  <si>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</si>
  <si>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</si>
  <si>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</si>
  <si>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</si>
  <si>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</si>
  <si>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</si>
  <si>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</si>
  <si>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Mes</t>
  </si>
  <si>
    <t>Tiempo</t>
  </si>
  <si>
    <t>Capital</t>
  </si>
  <si>
    <t>Mantto cta</t>
  </si>
  <si>
    <t>Intereses</t>
  </si>
  <si>
    <t>Intereses acum</t>
  </si>
  <si>
    <t>Manttos acum</t>
  </si>
  <si>
    <t>TREA</t>
  </si>
  <si>
    <t>Ingreso de información.</t>
  </si>
  <si>
    <t>Elegir productos:</t>
  </si>
  <si>
    <t>Llenar datos:</t>
  </si>
  <si>
    <t>Nota.- El simulador muestra resultados según condiciones estándar de contrato. Y considerando que el saldo diario</t>
  </si>
  <si>
    <t>se mantiene estable durante el plazo indicado.</t>
  </si>
  <si>
    <t>Medio de envío</t>
  </si>
  <si>
    <t>ENVIO DE EECC</t>
  </si>
  <si>
    <t>Envío físico</t>
  </si>
  <si>
    <t>Ambos</t>
  </si>
  <si>
    <t>No Aplica</t>
  </si>
  <si>
    <t>3)</t>
  </si>
  <si>
    <t>Comision Envio</t>
  </si>
  <si>
    <t>Comision Envio acum</t>
  </si>
  <si>
    <t>Comisión Mantenimiento de cuenta</t>
  </si>
  <si>
    <t>Comisión Envío de Movimientos</t>
  </si>
  <si>
    <t>Elegir Medio de envío de Movimientos:</t>
  </si>
  <si>
    <t>No requiere</t>
  </si>
  <si>
    <t>Tasa Promocional</t>
  </si>
  <si>
    <t>Envío virtual</t>
  </si>
  <si>
    <t>Cuenta Experiencia</t>
  </si>
  <si>
    <t>Cuenta Rolando</t>
  </si>
  <si>
    <t>CUENTA Rolando</t>
  </si>
  <si>
    <t>Mantenimiento Rolando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</si>
  <si>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</si>
  <si>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</si>
  <si>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</si>
  <si>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</si>
  <si>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</si>
  <si>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</si>
  <si>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</si>
  <si>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</si>
  <si>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</si>
  <si>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</si>
  <si>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</si>
  <si>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</si>
  <si>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Saldo mínimo de equilibrio</t>
  </si>
  <si>
    <t>OP010 v.06 - 04/2022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</si>
</sst>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S/.&quot;\ #,##0.00;[Red]&quot;S/.&quot;\ \-#,##0.00"/>
    <numFmt numFmtId="43" formatCode="_ * #,##0.00_ ;_ * \-#,##0.00_ ;_ * &quot;-&quot;??_ ;_ @_ "/>
    <numFmt numFmtId="164" formatCode="0.000%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1"/>
      <name val="Trebuchet MS"/>
      <family val="2"/>
    </font>
    <font>
      <sz val="10"/>
      <color theme="0"/>
      <name val="Trebuchet MS"/>
      <family val="2"/>
    </font>
    <font>
      <b/>
      <u/>
      <sz val="10"/>
      <color theme="1"/>
      <name val="Trebuchet MS"/>
      <family val="2"/>
    </font>
    <font>
      <b/>
      <sz val="16"/>
      <color theme="1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  <font>
      <sz val="11"/>
      <color theme="0"/>
      <name val="Trebuchet MS"/>
      <family val="2"/>
    </font>
    <font>
      <b/>
      <u/>
      <sz val="12"/>
      <color theme="0"/>
      <name val="Trebuchet MS"/>
      <family val="2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43" fontId="3" fillId="0" borderId="1" xfId="0" applyNumberFormat="1" applyFont="1" applyBorder="1" applyAlignment="1">
      <alignment horizontal="center"/>
    </xf>
    <xf numFmtId="10" fontId="3" fillId="0" borderId="1" xfId="2" applyNumberFormat="1" applyFont="1" applyBorder="1"/>
    <xf numFmtId="10" fontId="4" fillId="4" borderId="1" xfId="2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43" fontId="3" fillId="0" borderId="1" xfId="0" applyNumberFormat="1" applyFont="1" applyBorder="1" applyAlignment="1"/>
    <xf numFmtId="0" fontId="5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5" fillId="5" borderId="1" xfId="0" applyFont="1" applyFill="1" applyBorder="1" applyAlignment="1" applyProtection="1">
      <alignment horizontal="center"/>
    </xf>
    <xf numFmtId="0" fontId="5" fillId="0" borderId="0" xfId="0" applyFont="1" applyAlignment="1" applyProtection="1"/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Fill="1" applyAlignment="1" applyProtection="1"/>
    <xf numFmtId="0" fontId="5" fillId="0" borderId="0" xfId="0" applyFont="1" applyFill="1" applyAlignment="1" applyProtection="1">
      <alignment horizontal="center"/>
    </xf>
    <xf numFmtId="0" fontId="8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left"/>
    </xf>
    <xf numFmtId="0" fontId="9" fillId="0" borderId="0" xfId="0" applyFont="1" applyFill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left"/>
    </xf>
    <xf numFmtId="4" fontId="11" fillId="0" borderId="0" xfId="0" applyNumberFormat="1" applyFont="1" applyAlignment="1" applyProtection="1">
      <alignment horizontal="center"/>
    </xf>
    <xf numFmtId="0" fontId="12" fillId="0" borderId="0" xfId="0" applyFont="1" applyAlignment="1" applyProtection="1">
      <alignment horizontal="center"/>
    </xf>
    <xf numFmtId="8" fontId="5" fillId="0" borderId="0" xfId="0" applyNumberFormat="1" applyFont="1" applyAlignment="1" applyProtection="1">
      <alignment horizontal="center"/>
    </xf>
    <xf numFmtId="0" fontId="5" fillId="0" borderId="0" xfId="2" applyNumberFormat="1" applyFont="1" applyAlignment="1" applyProtection="1">
      <alignment horizontal="center"/>
    </xf>
    <xf numFmtId="0" fontId="11" fillId="5" borderId="0" xfId="0" applyFont="1" applyFill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Fill="1" applyAlignment="1" applyProtection="1">
      <alignment horizontal="center"/>
      <protection locked="0"/>
    </xf>
    <xf numFmtId="10" fontId="5" fillId="0" borderId="0" xfId="2" applyNumberFormat="1" applyFont="1" applyAlignment="1" applyProtection="1">
      <alignment horizontal="center"/>
    </xf>
    <xf numFmtId="10" fontId="3" fillId="0" borderId="0" xfId="0" applyNumberFormat="1" applyFont="1"/>
    <xf numFmtId="8" fontId="3" fillId="0" borderId="0" xfId="0" applyNumberFormat="1" applyFont="1"/>
    <xf numFmtId="4" fontId="11" fillId="5" borderId="0" xfId="1" applyNumberFormat="1" applyFont="1" applyFill="1" applyAlignment="1" applyProtection="1">
      <alignment horizontal="center"/>
      <protection locked="0"/>
    </xf>
    <xf numFmtId="4" fontId="5" fillId="0" borderId="0" xfId="0" applyNumberFormat="1" applyFont="1" applyAlignment="1" applyProtection="1">
      <alignment horizontal="center"/>
    </xf>
    <xf numFmtId="4" fontId="11" fillId="0" borderId="0" xfId="0" applyNumberFormat="1" applyFont="1" applyAlignment="1" applyProtection="1">
      <alignment horizontal="center"/>
      <protection hidden="1"/>
    </xf>
    <xf numFmtId="4" fontId="12" fillId="0" borderId="0" xfId="0" applyNumberFormat="1" applyFont="1" applyAlignment="1" applyProtection="1">
      <alignment horizontal="center"/>
      <protection hidden="1"/>
    </xf>
    <xf numFmtId="2" fontId="11" fillId="0" borderId="0" xfId="0" applyNumberFormat="1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10" fontId="11" fillId="0" borderId="0" xfId="2" applyNumberFormat="1" applyFont="1" applyFill="1" applyAlignment="1" applyProtection="1">
      <alignment horizontal="center"/>
      <protection hidden="1"/>
    </xf>
    <xf numFmtId="10" fontId="11" fillId="0" borderId="0" xfId="0" applyNumberFormat="1" applyFont="1" applyAlignment="1" applyProtection="1">
      <alignment horizontal="center"/>
      <protection hidden="1"/>
    </xf>
    <xf numFmtId="4" fontId="11" fillId="0" borderId="0" xfId="1" applyNumberFormat="1" applyFont="1" applyFill="1" applyAlignment="1" applyProtection="1">
      <alignment horizontal="center"/>
      <protection hidden="1"/>
    </xf>
    <xf numFmtId="0" fontId="11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center"/>
      <protection hidden="1"/>
    </xf>
    <xf numFmtId="164" fontId="11" fillId="0" borderId="0" xfId="0" applyNumberFormat="1" applyFont="1" applyAlignment="1" applyProtection="1">
      <alignment horizontal="center"/>
      <protection hidden="1"/>
    </xf>
    <xf numFmtId="164" fontId="11" fillId="0" borderId="0" xfId="2" applyNumberFormat="1" applyFont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10" fontId="2" fillId="0" borderId="1" xfId="0" applyNumberFormat="1" applyFont="1" applyBorder="1" applyAlignment="1" applyProtection="1">
      <alignment horizontal="center" vertical="center" wrapText="1"/>
      <protection hidden="1"/>
    </xf>
    <xf numFmtId="10" fontId="3" fillId="3" borderId="1" xfId="2" applyNumberFormat="1" applyFont="1" applyFill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 applyProtection="1">
      <alignment horizontal="center" vertical="center"/>
      <protection hidden="1"/>
    </xf>
    <xf numFmtId="10" fontId="2" fillId="0" borderId="1" xfId="2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10" fontId="3" fillId="0" borderId="1" xfId="2" applyNumberFormat="1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9" fontId="3" fillId="0" borderId="1" xfId="2" applyFont="1" applyBorder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center" vertical="center"/>
      <protection hidden="1"/>
    </xf>
    <xf numFmtId="10" fontId="3" fillId="7" borderId="1" xfId="2" applyNumberFormat="1" applyFont="1" applyFill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14" fontId="3" fillId="0" borderId="0" xfId="0" applyNumberFormat="1" applyFont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10" fontId="2" fillId="0" borderId="0" xfId="0" applyNumberFormat="1" applyFont="1" applyBorder="1" applyAlignment="1" applyProtection="1">
      <alignment horizontal="center" vertical="center" wrapText="1"/>
      <protection hidden="1"/>
    </xf>
    <xf numFmtId="43" fontId="3" fillId="0" borderId="1" xfId="1" applyFont="1" applyBorder="1" applyAlignment="1" applyProtection="1">
      <alignment horizontal="center" vertical="center"/>
      <protection hidden="1"/>
    </xf>
    <xf numFmtId="0" fontId="3" fillId="0" borderId="1" xfId="2" applyNumberFormat="1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10" fontId="2" fillId="8" borderId="1" xfId="2" applyNumberFormat="1" applyFont="1" applyFill="1" applyBorder="1" applyAlignment="1" applyProtection="1">
      <alignment horizontal="center" vertical="center" wrapText="1"/>
      <protection hidden="1"/>
    </xf>
    <xf numFmtId="10" fontId="3" fillId="8" borderId="1" xfId="2" applyNumberFormat="1" applyFont="1" applyFill="1" applyBorder="1" applyAlignment="1" applyProtection="1">
      <alignment horizontal="center" vertical="center"/>
      <protection hidden="1"/>
    </xf>
    <xf numFmtId="43" fontId="3" fillId="8" borderId="1" xfId="1" applyFont="1" applyFill="1" applyBorder="1" applyAlignment="1" applyProtection="1">
      <alignment horizontal="center" vertical="center"/>
      <protection hidden="1"/>
    </xf>
    <xf numFmtId="0" fontId="14" fillId="0" borderId="0" xfId="0" applyFont="1"/>
    <xf numFmtId="0" fontId="11" fillId="0" borderId="0" xfId="0" applyFont="1" applyFill="1" applyAlignment="1" applyProtection="1">
      <alignment horizontal="center"/>
      <protection locked="0"/>
    </xf>
    <xf numFmtId="165" fontId="11" fillId="0" borderId="0" xfId="1" applyNumberFormat="1" applyFont="1" applyFill="1" applyAlignment="1" applyProtection="1">
      <alignment horizontal="center"/>
      <protection hidden="1"/>
    </xf>
    <xf numFmtId="2" fontId="11" fillId="0" borderId="0" xfId="0" applyNumberFormat="1" applyFont="1" applyAlignment="1" applyProtection="1">
      <alignment horizontal="center"/>
    </xf>
    <xf numFmtId="0" fontId="13" fillId="2" borderId="0" xfId="0" applyFont="1" applyFill="1" applyAlignment="1" applyProtection="1">
      <alignment horizontal="center"/>
    </xf>
    <xf numFmtId="0" fontId="9" fillId="5" borderId="0" xfId="0" applyFont="1" applyFill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6" borderId="1" xfId="0" applyFont="1" applyFill="1" applyBorder="1" applyAlignment="1" applyProtection="1">
      <alignment horizontal="center" vertical="center"/>
      <protection hidden="1"/>
    </xf>
    <xf numFmtId="0" fontId="3" fillId="9" borderId="1" xfId="0" applyFont="1" applyFill="1" applyBorder="1" applyAlignment="1" applyProtection="1">
      <alignment horizontal="center" vertical="center"/>
      <protection hidden="1"/>
    </xf>
  </cellXfs>
  <cellStyles count="3">
    <cellStyle name="Millares" xfId="1" builtinId="3"/>
    <cellStyle name="Normal" xfId="0" builtinId="0"/>
    <cellStyle name="Porcentaje" xfId="2" builtinId="5"/>
  </cellStyles>
  <dxfs count="1"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47625</xdr:rowOff>
    </xdr:from>
    <xdr:to>
      <xdr:col>2</xdr:col>
      <xdr:colOff>745752</xdr:colOff>
      <xdr:row>2</xdr:row>
      <xdr:rowOff>133350</xdr:rowOff>
    </xdr:to>
    <xdr:pic>
      <xdr:nvPicPr>
        <xdr:cNvPr id="2349" name="Picture 1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38125"/>
          <a:ext cx="26670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34"/>
  <sheetViews>
    <sheetView showGridLines="0" tabSelected="1" topLeftCell="A12" zoomScale="85" zoomScaleNormal="85" workbookViewId="0">
      <selection activeCell="C12" sqref="C12:D12"/>
    </sheetView>
  </sheetViews>
  <sheetFormatPr baseColWidth="10" defaultColWidth="9.140625" defaultRowHeight="15" x14ac:dyDescent="0.3"/>
  <cols>
    <col min="1" max="1" width="3.28515625" style="12" customWidth="1"/>
    <col min="2" max="2" width="26.42578125" style="12" customWidth="1"/>
    <col min="3" max="4" width="12.7109375" style="12" customWidth="1"/>
    <col min="5" max="5" width="4.28515625" style="12" customWidth="1"/>
    <col min="6" max="6" width="9.140625" style="12"/>
    <col min="7" max="7" width="3.28515625" style="12" customWidth="1"/>
    <col min="8" max="8" width="34.28515625" style="12" customWidth="1"/>
    <col min="9" max="9" width="20.42578125" style="12" customWidth="1"/>
    <col min="10" max="10" width="4.7109375" style="12" customWidth="1"/>
    <col min="11" max="11" width="9.85546875" style="12" customWidth="1"/>
    <col min="12" max="12" width="9.140625" style="12"/>
    <col min="13" max="13" width="10.7109375" style="12" bestFit="1" customWidth="1"/>
    <col min="14" max="16384" width="9.140625" style="12"/>
  </cols>
  <sheetData>
    <row r="1" spans="1:13" x14ac:dyDescent="0.3">
      <c r="H1" s="13"/>
    </row>
    <row r="2" spans="1:13" x14ac:dyDescent="0.3">
      <c r="H2" s="13" t="str">
        <f>+IF($C$12="Depósito a Plazo Fijo","NOAP",IF($C$12="Cuenta CTS","CTS","ENVIO"))</f>
        <v>ENVIO</v>
      </c>
    </row>
    <row r="3" spans="1:13" x14ac:dyDescent="0.3">
      <c r="H3" s="13"/>
    </row>
    <row r="5" spans="1:13" x14ac:dyDescent="0.3">
      <c r="B5" s="14" t="s">
        <v>33</v>
      </c>
    </row>
    <row r="6" spans="1:13" ht="5.25" customHeight="1" x14ac:dyDescent="0.3">
      <c r="B6" s="14"/>
    </row>
    <row r="7" spans="1:13" x14ac:dyDescent="0.3">
      <c r="A7" s="15"/>
      <c r="B7" s="16" t="s">
        <v>74</v>
      </c>
    </row>
    <row r="8" spans="1:13" s="19" customFormat="1" ht="5.25" customHeight="1" x14ac:dyDescent="0.3">
      <c r="A8" s="17"/>
      <c r="B8" s="18"/>
    </row>
    <row r="9" spans="1:13" x14ac:dyDescent="0.3">
      <c r="B9" s="16"/>
      <c r="M9" s="23"/>
    </row>
    <row r="10" spans="1:13" ht="21" x14ac:dyDescent="0.35">
      <c r="A10" s="20" t="s">
        <v>38</v>
      </c>
      <c r="B10" s="16"/>
    </row>
    <row r="11" spans="1:13" ht="21" x14ac:dyDescent="0.35">
      <c r="A11" s="21" t="s">
        <v>34</v>
      </c>
      <c r="B11" s="20" t="s">
        <v>75</v>
      </c>
      <c r="G11" s="21" t="s">
        <v>37</v>
      </c>
      <c r="H11" s="20" t="s">
        <v>89</v>
      </c>
    </row>
    <row r="12" spans="1:13" ht="18" x14ac:dyDescent="0.35">
      <c r="B12" s="22" t="s">
        <v>0</v>
      </c>
      <c r="C12" s="84" t="s">
        <v>94</v>
      </c>
      <c r="D12" s="84"/>
      <c r="F12" s="23"/>
      <c r="G12" s="23"/>
      <c r="H12" s="22" t="s">
        <v>79</v>
      </c>
      <c r="I12" s="84" t="s">
        <v>92</v>
      </c>
      <c r="J12" s="84"/>
    </row>
    <row r="13" spans="1:13" ht="5.25" customHeight="1" x14ac:dyDescent="0.35">
      <c r="B13" s="22"/>
      <c r="C13" s="24"/>
      <c r="D13" s="24"/>
      <c r="F13" s="23"/>
      <c r="G13" s="23"/>
      <c r="H13" s="13"/>
    </row>
    <row r="14" spans="1:13" ht="21" x14ac:dyDescent="0.35">
      <c r="A14" s="21" t="s">
        <v>84</v>
      </c>
      <c r="B14" s="20" t="s">
        <v>76</v>
      </c>
      <c r="C14" s="24"/>
      <c r="D14" s="24"/>
      <c r="F14" s="23"/>
      <c r="G14" s="25"/>
    </row>
    <row r="15" spans="1:13" ht="5.25" customHeight="1" x14ac:dyDescent="0.3"/>
    <row r="16" spans="1:13" ht="18" x14ac:dyDescent="0.35">
      <c r="B16" s="83" t="s">
        <v>35</v>
      </c>
      <c r="C16" s="83"/>
      <c r="D16" s="83"/>
      <c r="E16" s="83"/>
      <c r="H16" s="83" t="s">
        <v>36</v>
      </c>
      <c r="I16" s="83"/>
      <c r="J16" s="83"/>
    </row>
    <row r="18" spans="1:13" ht="16.5" x14ac:dyDescent="0.3">
      <c r="A18" s="26"/>
      <c r="B18" s="27" t="s">
        <v>15</v>
      </c>
      <c r="C18" s="47">
        <f>+IF(Simulador!$C$23="PEN",VLOOKUP(Simulador!$C$12,Tablas!$D$4:$E$10,2,FALSE),VLOOKUP(Simulador!$C$12,Tablas!$F$4:$G$10,2,FALSE))</f>
        <v>0</v>
      </c>
      <c r="D18" s="26"/>
      <c r="E18" s="26"/>
      <c r="F18" s="26"/>
      <c r="G18" s="26"/>
      <c r="H18" s="48" t="s">
        <v>41</v>
      </c>
      <c r="I18" s="41">
        <f>+$C$20</f>
        <v>200</v>
      </c>
      <c r="J18" s="49" t="str">
        <f>+C23</f>
        <v>PEN</v>
      </c>
      <c r="K18" s="26"/>
    </row>
    <row r="19" spans="1:13" ht="16.5" x14ac:dyDescent="0.3">
      <c r="A19" s="26"/>
      <c r="B19" s="27" t="s">
        <v>109</v>
      </c>
      <c r="C19" s="81">
        <f>+IF(Simulador!$C$23="PEN",VLOOKUP(Simulador!$C$12,Tablas!$H$4:$I$10,2,FALSE),VLOOKUP(Simulador!$C$12,Tablas!$J$4:$K$10,2,FALSE))</f>
        <v>200</v>
      </c>
      <c r="D19" s="26"/>
      <c r="E19" s="26"/>
      <c r="F19" s="26"/>
      <c r="G19" s="26"/>
      <c r="H19" s="48" t="s">
        <v>26</v>
      </c>
      <c r="I19" s="43">
        <f>IF($C$20&lt;C19,0,VLOOKUP($C$24,Calculo!$A$2:$J$38,7,TRUE))</f>
        <v>0.6948990006999054</v>
      </c>
      <c r="J19" s="49" t="str">
        <f>+C23</f>
        <v>PEN</v>
      </c>
      <c r="K19" s="82"/>
      <c r="L19" s="40"/>
      <c r="M19" s="30"/>
    </row>
    <row r="20" spans="1:13" ht="16.5" x14ac:dyDescent="0.3">
      <c r="A20" s="26"/>
      <c r="B20" s="27" t="s">
        <v>30</v>
      </c>
      <c r="C20" s="39">
        <v>200</v>
      </c>
      <c r="D20" s="29">
        <f>IF(AND($C$23="PEN",$C$12="Cuenta Ahorros"),VLOOKUP($C$20,Tablas!$Q$25:$R$29,2,TRUE),IF(AND($C$23="PEN",$C$12="Cuenta CTS"),VLOOKUP($C$20,Tablas!$Q$30:$R$33,2,TRUE),IF(AND($C$23="PEN",$C$12="Ahorro Hipotecario"),VLOOKUP($C$20,Tablas!$Q$34:$R$37,2,TRUE),IF(AND($C$23="USD",$C$12="Cuenta Ahorros"),VLOOKUP($C$20,Tablas!$S$25:$T$29,2,TRUE),IF(AND($C$23="USD",$C$12="Cuenta CTS"),VLOOKUP($C$20,Tablas!$S$30:$T$32,2,TRUE),IF(AND($C$23="USD",$C$12="Ahorro Hipotecario"),VLOOKUP($C$20,Tablas!$S$34:$T$37,2,TRUE),IF(AND($C$23="PEN",$C$12="Depósito a Plazo Fijo"),VLOOKUP($C$20,Tablas!$Q$43:$R$44,2,TRUE),IF(AND($C$12="Cuenta Rolando",$C$23="PEN",C20&lt;10000),1,IF(AND($C$12="Cuenta Rolando",$C$23="USD",C20&lt;10000),1,IF(AND($C$23="USD",$C$12="Depósito a Plazo Fijo"),VLOOKUP($C$20,Tablas!$S$43:$T$44,2,TRUE),0))))))))))</f>
        <v>1</v>
      </c>
      <c r="E20" s="26"/>
      <c r="F20" s="26"/>
      <c r="G20" s="26"/>
      <c r="H20" s="50" t="s">
        <v>27</v>
      </c>
      <c r="I20" s="42">
        <f>+IF(AND($C$12="Depósito a Plazo Fijo",$C$25="Pago Intereses Periódicos"),$I$19+$C$20,FV(((1+$C$21)^(1/360))-1,$C$24,,-$C$20))</f>
        <v>200.69489900069991</v>
      </c>
      <c r="J20" s="51" t="str">
        <f>+C23</f>
        <v>PEN</v>
      </c>
      <c r="K20" s="26"/>
      <c r="M20" s="31"/>
    </row>
    <row r="21" spans="1:13" ht="16.5" x14ac:dyDescent="0.3">
      <c r="A21" s="26"/>
      <c r="B21" s="27" t="s">
        <v>28</v>
      </c>
      <c r="C21" s="45">
        <f t="array" ref="C21">+IF(AND($C$12="Depósito a Plazo Fijo",$C$23="PEN",$D$20=1),VLOOKUP($C$24,Tablas!$L$4:$M$12,2,FALSE),IF(AND($C$12="Depósito a Plazo Fijo",$C$23="PEN",$D$20=2),VLOOKUP($C$24,Tablas!$L$14:$M$22,2,FALSE),IF(AND($C$12="Depósito a Plazo Fijo",$C$23="PEN",$D$20=3),VLOOKUP($C$24,Tablas!$L$24:$M$29,2,FALSE),IF(AND($C$12="Depósito a Plazo Fijo",$C$23="USD",$D$20=1),VLOOKUP($C$24,Tablas!$N$4:$O$12,2,FALSE),IF(AND($C$12="Depósito a Plazo Fijo",$C$23="USD",$D$20=2),VLOOKUP($C$24,Tablas!$N$14:$O$22,2,FALSE),IF(OR($C$12="Cuenta Ahorros",$C$12="Cuenta CTS",$C$12="Ahorro Hipotecario",$C$12="Tasa Promocional"),IF($C$23="PEN",SMALL(IF((Tablas!$P$4:$P$21=$C$12)*(Tablas!$Q$4:$Q$21=$D$20)=0,"No",Tablas!$R$4:$R$21),1),SMALL(IF((Tablas!$P$4:$P$21=$C$12)*(Tablas!$S$4:$S$21=$D$20)=0,"No",Tablas!$T$4:$T$21),1)),IF(AND($C$12="Cuenta Sueldo",$C$23="PEN"),Tablas!$X$4,IF(AND($C$12="Cuenta Sueldo",$C$23="USD"),Tablas!$Y$4,IF(AND($C$12="Cuenta Experiencia",$C$23="PEN"),Tablas!$AB$4,IF(AND($C$12="Cuenta Experiencia",$C$23="USD"),Tablas!$AC$4,IF(AND($C$12="Cuenta Rolando",$C$23="PEN"),Tablas!$AE$4,IF(AND($C$12="Cuenta Rolando",$C$23="USD"),Tablas!$AF$4,"No aplica"))))))))))))</f>
        <v>4.2500000000000003E-2</v>
      </c>
      <c r="D21" s="26"/>
      <c r="E21" s="26"/>
      <c r="F21" s="26"/>
      <c r="G21" s="26"/>
      <c r="H21" s="48" t="s">
        <v>87</v>
      </c>
      <c r="I21" s="43">
        <f>+VLOOKUP($C$24,Calculo!$A$2:$J$38,9,TRUE)</f>
        <v>0</v>
      </c>
      <c r="J21" s="49" t="str">
        <f>+C23</f>
        <v>PEN</v>
      </c>
      <c r="K21" s="26"/>
    </row>
    <row r="22" spans="1:13" ht="16.5" x14ac:dyDescent="0.3">
      <c r="A22" s="26"/>
      <c r="B22" s="27" t="s">
        <v>39</v>
      </c>
      <c r="C22" s="46">
        <f>+Calculo!$J$14</f>
        <v>4.2500000000023741E-2</v>
      </c>
      <c r="D22" s="26"/>
      <c r="E22" s="26"/>
      <c r="F22" s="26"/>
      <c r="G22" s="26"/>
      <c r="H22" s="48" t="s">
        <v>88</v>
      </c>
      <c r="I22" s="43">
        <f>+VLOOKUP($C$24,Calculo!$A$2:$J$38,8,TRUE)</f>
        <v>0</v>
      </c>
      <c r="J22" s="52" t="str">
        <f>+C23</f>
        <v>PEN</v>
      </c>
      <c r="K22" s="26"/>
      <c r="L22" s="40"/>
    </row>
    <row r="23" spans="1:13" ht="16.5" x14ac:dyDescent="0.3">
      <c r="A23" s="26"/>
      <c r="B23" s="27" t="s">
        <v>6</v>
      </c>
      <c r="C23" s="32" t="s">
        <v>7</v>
      </c>
      <c r="D23" s="33"/>
      <c r="E23" s="33"/>
      <c r="F23" s="26"/>
      <c r="G23" s="26"/>
      <c r="H23" s="44"/>
      <c r="I23" s="44"/>
      <c r="J23" s="44"/>
      <c r="K23" s="26"/>
    </row>
    <row r="24" spans="1:13" ht="16.5" x14ac:dyDescent="0.3">
      <c r="A24" s="26"/>
      <c r="B24" s="27" t="s">
        <v>9</v>
      </c>
      <c r="C24" s="32">
        <v>30</v>
      </c>
      <c r="D24" s="34" t="s">
        <v>17</v>
      </c>
      <c r="E24" s="33"/>
      <c r="F24" s="26"/>
      <c r="G24" s="26"/>
      <c r="H24" s="48" t="s">
        <v>32</v>
      </c>
      <c r="I24" s="41">
        <f>+I18+I19-I21-I22</f>
        <v>200.69489900069991</v>
      </c>
      <c r="J24" s="53" t="str">
        <f>+C23</f>
        <v>PEN</v>
      </c>
      <c r="K24" s="26"/>
    </row>
    <row r="25" spans="1:13" ht="16.5" x14ac:dyDescent="0.3">
      <c r="A25" s="26"/>
      <c r="B25" s="27" t="str">
        <f>IF(C12="Depósito a Plazo Fijo","Modalidad","")</f>
        <v/>
      </c>
      <c r="C25" s="80"/>
      <c r="D25" s="80"/>
      <c r="E25" s="80"/>
      <c r="F25" s="26"/>
      <c r="G25" s="26"/>
      <c r="H25" s="26"/>
      <c r="I25" s="28"/>
      <c r="J25" s="26"/>
      <c r="K25" s="26"/>
    </row>
    <row r="26" spans="1:13" ht="16.5" x14ac:dyDescent="0.3">
      <c r="A26" s="26"/>
      <c r="B26" s="27" t="str">
        <f>IF(AND($C$25="Pago Intereses Periódicos",$C$12="Depósito a Plazo Fijo"),"Periodicidad","")</f>
        <v/>
      </c>
      <c r="C26" s="80" t="str">
        <f>IF(AND($C$25="Pago Intereses Periódicos",$C$12="Depósito a Plazo Fijo"),"30","")</f>
        <v/>
      </c>
      <c r="D26" s="80"/>
      <c r="E26" s="33"/>
      <c r="F26" s="26"/>
      <c r="G26" s="26"/>
      <c r="H26" s="26"/>
      <c r="I26" s="26"/>
      <c r="J26" s="26"/>
      <c r="K26" s="26"/>
    </row>
    <row r="27" spans="1:13" ht="16.5" x14ac:dyDescent="0.3">
      <c r="A27" s="26"/>
      <c r="B27" s="27"/>
      <c r="C27" s="35"/>
      <c r="D27" s="35"/>
      <c r="E27" s="33"/>
      <c r="F27" s="26"/>
      <c r="G27" s="26"/>
      <c r="H27" s="26"/>
      <c r="I27" s="26"/>
      <c r="J27" s="26"/>
      <c r="K27" s="26"/>
    </row>
    <row r="28" spans="1:13" x14ac:dyDescent="0.3">
      <c r="B28" s="23" t="s">
        <v>40</v>
      </c>
      <c r="C28" s="36"/>
    </row>
    <row r="29" spans="1:13" ht="5.25" customHeight="1" x14ac:dyDescent="0.3">
      <c r="B29" s="23"/>
      <c r="C29" s="36"/>
    </row>
    <row r="30" spans="1:13" x14ac:dyDescent="0.3">
      <c r="B30" s="23" t="s">
        <v>77</v>
      </c>
    </row>
    <row r="31" spans="1:13" x14ac:dyDescent="0.3">
      <c r="B31" s="23" t="s">
        <v>78</v>
      </c>
    </row>
    <row r="32" spans="1:13" x14ac:dyDescent="0.3">
      <c r="B32" s="23" t="s">
        <v>29</v>
      </c>
    </row>
    <row r="34" spans="2:2" ht="15.75" x14ac:dyDescent="0.3">
      <c r="B34" s="79" t="s">
        <v>110</v>
      </c>
    </row>
  </sheetData>
  <sheetProtection password="E389" sheet="1" selectLockedCells="1"/>
  <mergeCells count="4">
    <mergeCell ref="B16:E16"/>
    <mergeCell ref="H16:J16"/>
    <mergeCell ref="C12:D12"/>
    <mergeCell ref="I12:J12"/>
  </mergeCells>
  <conditionalFormatting sqref="C25">
    <cfRule type="expression" dxfId="0" priority="2" stopIfTrue="1">
      <formula>$C$12="Depósito a Plazo Fijo"</formula>
    </cfRule>
  </conditionalFormatting>
  <dataValidations count="6">
    <dataValidation type="list" allowBlank="1" showInputMessage="1" showErrorMessage="1" sqref="C12">
      <formula1>PROD</formula1>
    </dataValidation>
    <dataValidation type="list" allowBlank="1" showInputMessage="1" showErrorMessage="1" sqref="C25">
      <formula1>MOD</formula1>
    </dataValidation>
    <dataValidation operator="greaterThanOrEqual" allowBlank="1" showInputMessage="1" showErrorMessage="1" errorTitle="Monto mínimo de apertura" error="El monto que ha ingresado no cumple con el Monto mínimo de apertura requerido para este producto." promptTitle="Monto mínimo de apertura" prompt="Montos mínimos de apertura para cada tipo de cuenta." sqref="C18:C19"/>
    <dataValidation type="list" allowBlank="1" showInputMessage="1" showErrorMessage="1" sqref="C24">
      <formula1>DIAS</formula1>
    </dataValidation>
    <dataValidation type="list" allowBlank="1" showInputMessage="1" showErrorMessage="1" sqref="C23">
      <formula1>"PEN,USD"</formula1>
    </dataValidation>
    <dataValidation type="list" allowBlank="1" showInputMessage="1" showErrorMessage="1" sqref="I12:J12">
      <formula1>INDIRECT($H$2)</formula1>
    </dataValidation>
  </dataValidations>
  <pageMargins left="0.70866141732283472" right="0.70866141732283472" top="0.74803149606299213" bottom="0.74803149606299213" header="0.31496062992125984" footer="0.31496062992125984"/>
  <pageSetup orientation="landscape" r:id="rId1"/>
  <ignoredErrors>
    <ignoredError sqref="C18 C26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2:AH44"/>
  <sheetViews>
    <sheetView workbookViewId="0">
      <selection activeCell="H11" sqref="H11:I11"/>
    </sheetView>
  </sheetViews>
  <sheetFormatPr baseColWidth="10" defaultColWidth="9.140625" defaultRowHeight="12" x14ac:dyDescent="0.25"/>
  <cols>
    <col min="1" max="1" width="20.85546875" style="55" bestFit="1" customWidth="1"/>
    <col min="2" max="2" width="9.140625" style="55"/>
    <col min="3" max="3" width="25.28515625" style="55" bestFit="1" customWidth="1"/>
    <col min="4" max="4" width="18.5703125" style="55" bestFit="1" customWidth="1"/>
    <col min="5" max="5" width="4.42578125" style="55" bestFit="1" customWidth="1"/>
    <col min="6" max="6" width="18.5703125" style="55" bestFit="1" customWidth="1"/>
    <col min="7" max="7" width="4.42578125" style="55" bestFit="1" customWidth="1"/>
    <col min="8" max="8" width="18.5703125" style="55" bestFit="1" customWidth="1"/>
    <col min="9" max="9" width="4.42578125" style="55" bestFit="1" customWidth="1"/>
    <col min="10" max="10" width="18.5703125" style="55" bestFit="1" customWidth="1"/>
    <col min="11" max="11" width="4.42578125" style="55" bestFit="1" customWidth="1"/>
    <col min="12" max="15" width="9.140625" style="55"/>
    <col min="16" max="16" width="10.7109375" style="75" customWidth="1"/>
    <col min="17" max="20" width="12" style="55" bestFit="1" customWidth="1"/>
    <col min="21" max="25" width="9.140625" style="55"/>
    <col min="26" max="26" width="14.28515625" style="55" bestFit="1" customWidth="1"/>
    <col min="27" max="27" width="10.85546875" style="55" customWidth="1"/>
    <col min="28" max="16384" width="9.140625" style="55"/>
  </cols>
  <sheetData>
    <row r="2" spans="1:34" ht="27" customHeight="1" x14ac:dyDescent="0.25">
      <c r="A2" s="54" t="s">
        <v>1</v>
      </c>
      <c r="B2" s="54" t="s">
        <v>6</v>
      </c>
      <c r="C2" s="54" t="s">
        <v>10</v>
      </c>
      <c r="D2" s="95" t="s">
        <v>15</v>
      </c>
      <c r="E2" s="95"/>
      <c r="F2" s="95"/>
      <c r="G2" s="95"/>
      <c r="H2" s="97" t="s">
        <v>109</v>
      </c>
      <c r="I2" s="97"/>
      <c r="J2" s="97"/>
      <c r="K2" s="97"/>
      <c r="L2" s="95" t="s">
        <v>13</v>
      </c>
      <c r="M2" s="95"/>
      <c r="N2" s="95"/>
      <c r="O2" s="95"/>
      <c r="P2" s="87" t="s">
        <v>19</v>
      </c>
      <c r="Q2" s="88"/>
      <c r="R2" s="88"/>
      <c r="S2" s="88"/>
      <c r="T2" s="89"/>
      <c r="U2" s="85" t="s">
        <v>31</v>
      </c>
      <c r="V2" s="86"/>
      <c r="W2" s="87" t="s">
        <v>23</v>
      </c>
      <c r="X2" s="88"/>
      <c r="Y2" s="89"/>
      <c r="Z2" s="54" t="s">
        <v>80</v>
      </c>
      <c r="AA2" s="87" t="s">
        <v>93</v>
      </c>
      <c r="AB2" s="88"/>
      <c r="AC2" s="89"/>
      <c r="AD2" s="87" t="s">
        <v>95</v>
      </c>
      <c r="AE2" s="88"/>
      <c r="AF2" s="89"/>
      <c r="AG2" s="85" t="s">
        <v>96</v>
      </c>
      <c r="AH2" s="86"/>
    </row>
    <row r="3" spans="1:34" x14ac:dyDescent="0.25">
      <c r="A3" s="56" t="s">
        <v>5</v>
      </c>
      <c r="B3" s="56" t="s">
        <v>7</v>
      </c>
      <c r="D3" s="56" t="s">
        <v>16</v>
      </c>
      <c r="E3" s="56" t="s">
        <v>7</v>
      </c>
      <c r="F3" s="56" t="s">
        <v>16</v>
      </c>
      <c r="G3" s="56" t="s">
        <v>8</v>
      </c>
      <c r="H3" s="56" t="s">
        <v>16</v>
      </c>
      <c r="I3" s="56" t="s">
        <v>7</v>
      </c>
      <c r="J3" s="56" t="s">
        <v>16</v>
      </c>
      <c r="K3" s="56" t="s">
        <v>8</v>
      </c>
      <c r="L3" s="56" t="s">
        <v>14</v>
      </c>
      <c r="M3" s="56" t="s">
        <v>7</v>
      </c>
      <c r="N3" s="56" t="s">
        <v>14</v>
      </c>
      <c r="O3" s="56" t="s">
        <v>8</v>
      </c>
      <c r="P3" s="57" t="s">
        <v>18</v>
      </c>
      <c r="Q3" s="56" t="s">
        <v>24</v>
      </c>
      <c r="R3" s="56" t="s">
        <v>7</v>
      </c>
      <c r="S3" s="56" t="s">
        <v>24</v>
      </c>
      <c r="T3" s="56" t="s">
        <v>8</v>
      </c>
      <c r="U3" s="56" t="s">
        <v>7</v>
      </c>
      <c r="V3" s="56" t="s">
        <v>8</v>
      </c>
      <c r="W3" s="57" t="s">
        <v>18</v>
      </c>
      <c r="X3" s="56" t="s">
        <v>7</v>
      </c>
      <c r="Y3" s="56" t="s">
        <v>8</v>
      </c>
      <c r="Z3" s="56" t="s">
        <v>90</v>
      </c>
      <c r="AA3" s="57" t="s">
        <v>18</v>
      </c>
      <c r="AB3" s="56" t="s">
        <v>7</v>
      </c>
      <c r="AC3" s="56" t="s">
        <v>8</v>
      </c>
      <c r="AD3" s="57" t="s">
        <v>18</v>
      </c>
      <c r="AE3" s="56" t="s">
        <v>7</v>
      </c>
      <c r="AF3" s="56" t="s">
        <v>8</v>
      </c>
      <c r="AG3" s="56" t="s">
        <v>7</v>
      </c>
      <c r="AH3" s="56" t="s">
        <v>8</v>
      </c>
    </row>
    <row r="4" spans="1:34" ht="24" x14ac:dyDescent="0.25">
      <c r="A4" s="56" t="s">
        <v>2</v>
      </c>
      <c r="B4" s="56" t="s">
        <v>8</v>
      </c>
      <c r="C4" s="56" t="s">
        <v>11</v>
      </c>
      <c r="D4" s="56" t="s">
        <v>5</v>
      </c>
      <c r="E4" s="56">
        <v>360</v>
      </c>
      <c r="F4" s="56" t="s">
        <v>5</v>
      </c>
      <c r="G4" s="56">
        <v>120</v>
      </c>
      <c r="H4" s="56" t="s">
        <v>5</v>
      </c>
      <c r="I4" s="56">
        <v>89.99</v>
      </c>
      <c r="J4" s="56" t="s">
        <v>5</v>
      </c>
      <c r="K4" s="56">
        <v>99.99</v>
      </c>
      <c r="L4" s="58">
        <v>30</v>
      </c>
      <c r="M4" s="59">
        <v>2.1499999999999998E-2</v>
      </c>
      <c r="N4" s="58">
        <v>30</v>
      </c>
      <c r="O4" s="59">
        <v>2.5000000000000001E-3</v>
      </c>
      <c r="P4" s="57" t="s">
        <v>2</v>
      </c>
      <c r="Q4" s="56">
        <v>1</v>
      </c>
      <c r="R4" s="77">
        <v>0.01</v>
      </c>
      <c r="S4" s="56">
        <v>1</v>
      </c>
      <c r="T4" s="60">
        <v>2E-3</v>
      </c>
      <c r="U4" s="61">
        <v>0</v>
      </c>
      <c r="V4" s="61">
        <v>0</v>
      </c>
      <c r="W4" s="57" t="s">
        <v>3</v>
      </c>
      <c r="X4" s="62">
        <v>2.5000000000000001E-3</v>
      </c>
      <c r="Y4" s="62">
        <v>2E-3</v>
      </c>
      <c r="Z4" s="57" t="s">
        <v>92</v>
      </c>
      <c r="AA4" s="57" t="s">
        <v>93</v>
      </c>
      <c r="AB4" s="76">
        <v>0.02</v>
      </c>
      <c r="AC4" s="76">
        <v>2.5000000000000001E-3</v>
      </c>
      <c r="AD4" s="57" t="s">
        <v>94</v>
      </c>
      <c r="AE4" s="76">
        <v>4.2500000000000003E-2</v>
      </c>
      <c r="AF4" s="76">
        <v>0.01</v>
      </c>
      <c r="AG4" s="61">
        <v>0</v>
      </c>
      <c r="AH4" s="61">
        <v>0</v>
      </c>
    </row>
    <row r="5" spans="1:34" ht="24" x14ac:dyDescent="0.25">
      <c r="A5" s="56" t="s">
        <v>4</v>
      </c>
      <c r="C5" s="63" t="s">
        <v>12</v>
      </c>
      <c r="D5" s="56" t="s">
        <v>2</v>
      </c>
      <c r="E5" s="56">
        <v>1000</v>
      </c>
      <c r="F5" s="56" t="s">
        <v>2</v>
      </c>
      <c r="G5" s="56">
        <v>400</v>
      </c>
      <c r="H5" s="56" t="s">
        <v>2</v>
      </c>
      <c r="I5" s="56">
        <v>0</v>
      </c>
      <c r="J5" s="56" t="s">
        <v>2</v>
      </c>
      <c r="K5" s="56">
        <v>0</v>
      </c>
      <c r="L5" s="58">
        <v>60</v>
      </c>
      <c r="M5" s="59">
        <v>2.2499999999999999E-2</v>
      </c>
      <c r="N5" s="58">
        <v>60</v>
      </c>
      <c r="O5" s="59">
        <v>4.0000000000000001E-3</v>
      </c>
      <c r="P5" s="57" t="s">
        <v>2</v>
      </c>
      <c r="Q5" s="56">
        <v>2</v>
      </c>
      <c r="R5" s="77">
        <v>0.01</v>
      </c>
      <c r="S5" s="56">
        <v>2</v>
      </c>
      <c r="T5" s="64">
        <v>2E-3</v>
      </c>
      <c r="Z5" s="56" t="s">
        <v>81</v>
      </c>
    </row>
    <row r="6" spans="1:34" ht="24" x14ac:dyDescent="0.25">
      <c r="A6" s="56" t="s">
        <v>3</v>
      </c>
      <c r="D6" s="56" t="s">
        <v>4</v>
      </c>
      <c r="E6" s="56">
        <v>0</v>
      </c>
      <c r="F6" s="56" t="s">
        <v>4</v>
      </c>
      <c r="G6" s="56">
        <v>0</v>
      </c>
      <c r="H6" s="56" t="s">
        <v>4</v>
      </c>
      <c r="I6" s="56">
        <v>0</v>
      </c>
      <c r="J6" s="56" t="s">
        <v>4</v>
      </c>
      <c r="K6" s="56">
        <v>0</v>
      </c>
      <c r="L6" s="58">
        <v>90</v>
      </c>
      <c r="M6" s="59">
        <v>2.35E-2</v>
      </c>
      <c r="N6" s="58">
        <v>90</v>
      </c>
      <c r="O6" s="59">
        <v>4.0000000000000001E-3</v>
      </c>
      <c r="P6" s="57" t="s">
        <v>2</v>
      </c>
      <c r="Q6" s="56">
        <v>3</v>
      </c>
      <c r="R6" s="77">
        <v>1.2500000000000001E-2</v>
      </c>
      <c r="S6" s="56">
        <v>3</v>
      </c>
      <c r="T6" s="64">
        <v>2E-3</v>
      </c>
      <c r="Z6" s="56" t="s">
        <v>82</v>
      </c>
    </row>
    <row r="7" spans="1:34" ht="24" x14ac:dyDescent="0.25">
      <c r="A7" s="56" t="s">
        <v>93</v>
      </c>
      <c r="D7" s="56" t="s">
        <v>3</v>
      </c>
      <c r="E7" s="56">
        <v>0</v>
      </c>
      <c r="F7" s="56" t="s">
        <v>3</v>
      </c>
      <c r="G7" s="56">
        <v>0</v>
      </c>
      <c r="H7" s="56" t="s">
        <v>3</v>
      </c>
      <c r="I7" s="56">
        <v>59.99</v>
      </c>
      <c r="J7" s="56" t="s">
        <v>3</v>
      </c>
      <c r="K7" s="56">
        <v>129.99</v>
      </c>
      <c r="L7" s="58">
        <v>120</v>
      </c>
      <c r="M7" s="59">
        <v>2.5000000000000001E-2</v>
      </c>
      <c r="N7" s="58">
        <v>120</v>
      </c>
      <c r="O7" s="59">
        <v>4.0000000000000001E-3</v>
      </c>
      <c r="P7" s="57" t="s">
        <v>2</v>
      </c>
      <c r="Q7" s="56">
        <v>4</v>
      </c>
      <c r="R7" s="77">
        <v>1.7500000000000002E-2</v>
      </c>
      <c r="S7" s="56">
        <v>4</v>
      </c>
      <c r="T7" s="64">
        <v>3.0000000000000001E-3</v>
      </c>
      <c r="Z7" s="56" t="s">
        <v>83</v>
      </c>
    </row>
    <row r="8" spans="1:34" ht="24" x14ac:dyDescent="0.25">
      <c r="A8" s="56" t="s">
        <v>94</v>
      </c>
      <c r="D8" s="56" t="s">
        <v>25</v>
      </c>
      <c r="E8" s="56">
        <v>1000</v>
      </c>
      <c r="F8" s="56" t="s">
        <v>25</v>
      </c>
      <c r="G8" s="56">
        <v>350</v>
      </c>
      <c r="H8" s="56" t="s">
        <v>25</v>
      </c>
      <c r="I8" s="56">
        <v>0</v>
      </c>
      <c r="J8" s="56" t="s">
        <v>25</v>
      </c>
      <c r="K8" s="56">
        <v>0</v>
      </c>
      <c r="L8" s="58">
        <v>180</v>
      </c>
      <c r="M8" s="59">
        <v>0.03</v>
      </c>
      <c r="N8" s="58">
        <v>180</v>
      </c>
      <c r="O8" s="59">
        <v>5.0000000000000001E-3</v>
      </c>
      <c r="P8" s="57" t="s">
        <v>2</v>
      </c>
      <c r="Q8" s="56">
        <v>5</v>
      </c>
      <c r="R8" s="77">
        <v>2.5000000000000001E-2</v>
      </c>
      <c r="S8" s="56">
        <v>5</v>
      </c>
      <c r="T8" s="64">
        <v>3.0000000000000001E-3</v>
      </c>
    </row>
    <row r="9" spans="1:34" x14ac:dyDescent="0.25">
      <c r="A9" s="61" t="s">
        <v>25</v>
      </c>
      <c r="D9" s="65" t="s">
        <v>93</v>
      </c>
      <c r="E9" s="65">
        <v>0</v>
      </c>
      <c r="F9" s="65" t="s">
        <v>93</v>
      </c>
      <c r="G9" s="55">
        <v>0</v>
      </c>
      <c r="H9" s="65" t="s">
        <v>93</v>
      </c>
      <c r="I9" s="65">
        <v>9.99</v>
      </c>
      <c r="J9" s="65" t="s">
        <v>93</v>
      </c>
      <c r="K9" s="55">
        <v>69.989999999999995</v>
      </c>
      <c r="L9" s="56">
        <v>270</v>
      </c>
      <c r="M9" s="59">
        <v>3.5999999999999997E-2</v>
      </c>
      <c r="N9" s="56">
        <v>270</v>
      </c>
      <c r="O9" s="59">
        <v>5.4999999999999997E-3</v>
      </c>
      <c r="P9" s="56" t="s">
        <v>4</v>
      </c>
      <c r="Q9" s="56">
        <v>1</v>
      </c>
      <c r="R9" s="77">
        <v>3.7499999999999999E-2</v>
      </c>
      <c r="S9" s="56">
        <v>1</v>
      </c>
      <c r="T9" s="77">
        <v>1.2999999999999999E-2</v>
      </c>
    </row>
    <row r="10" spans="1:34" x14ac:dyDescent="0.25">
      <c r="D10" s="56" t="s">
        <v>94</v>
      </c>
      <c r="E10" s="56">
        <v>0</v>
      </c>
      <c r="F10" s="56" t="s">
        <v>94</v>
      </c>
      <c r="G10" s="56">
        <v>0</v>
      </c>
      <c r="H10" s="56" t="s">
        <v>94</v>
      </c>
      <c r="I10" s="56">
        <v>200</v>
      </c>
      <c r="J10" s="56" t="s">
        <v>94</v>
      </c>
      <c r="K10" s="56">
        <v>399.99</v>
      </c>
      <c r="L10" s="58">
        <v>360</v>
      </c>
      <c r="M10" s="59">
        <v>4.2000000000000003E-2</v>
      </c>
      <c r="N10" s="58">
        <v>360</v>
      </c>
      <c r="O10" s="59">
        <v>6.0000000000000001E-3</v>
      </c>
      <c r="P10" s="56" t="s">
        <v>4</v>
      </c>
      <c r="Q10" s="56">
        <v>2</v>
      </c>
      <c r="R10" s="77">
        <v>3.7499999999999999E-2</v>
      </c>
      <c r="S10" s="56">
        <v>2</v>
      </c>
      <c r="T10" s="77">
        <v>1.4999999999999999E-2</v>
      </c>
    </row>
    <row r="11" spans="1:34" x14ac:dyDescent="0.25">
      <c r="D11" s="96" t="s">
        <v>20</v>
      </c>
      <c r="E11" s="96"/>
      <c r="F11" s="96">
        <f>+IF(Simulador!$C$23="PEN",VLOOKUP(Simulador!$C$12,Tablas!$D$4:$E$10,2,FALSE),VLOOKUP(Simulador!$C$12,Tablas!$F$4:$G$10,2,FALSE))</f>
        <v>0</v>
      </c>
      <c r="G11" s="96"/>
      <c r="H11" s="96" t="s">
        <v>20</v>
      </c>
      <c r="I11" s="96"/>
      <c r="J11" s="96">
        <f>+IF(Simulador!$C$23="PEN",VLOOKUP(Simulador!$C$12,Tablas!$D$4:$E$10,2,FALSE),VLOOKUP(Simulador!$C$12,Tablas!$F$4:$G$10,2,FALSE))</f>
        <v>0</v>
      </c>
      <c r="K11" s="96"/>
      <c r="L11" s="58">
        <v>540</v>
      </c>
      <c r="M11" s="59">
        <v>4.7500000000000001E-2</v>
      </c>
      <c r="N11" s="58">
        <v>540</v>
      </c>
      <c r="O11" s="59">
        <v>6.0000000000000001E-3</v>
      </c>
      <c r="P11" s="56" t="s">
        <v>4</v>
      </c>
      <c r="Q11" s="56">
        <v>3</v>
      </c>
      <c r="R11" s="77">
        <v>0.04</v>
      </c>
      <c r="S11" s="56">
        <v>3</v>
      </c>
      <c r="T11" s="77">
        <v>0.02</v>
      </c>
    </row>
    <row r="12" spans="1:34" x14ac:dyDescent="0.25">
      <c r="L12" s="58">
        <v>720</v>
      </c>
      <c r="M12" s="59">
        <v>0.05</v>
      </c>
      <c r="N12" s="58">
        <v>720</v>
      </c>
      <c r="O12" s="59">
        <v>8.9999999999999993E-3</v>
      </c>
      <c r="P12" s="56" t="s">
        <v>4</v>
      </c>
      <c r="Q12" s="56">
        <v>4</v>
      </c>
      <c r="R12" s="64">
        <v>5.5E-2</v>
      </c>
      <c r="S12" s="56"/>
      <c r="T12" s="66"/>
    </row>
    <row r="13" spans="1:34" ht="24" x14ac:dyDescent="0.25">
      <c r="L13" s="67">
        <v>1080</v>
      </c>
      <c r="M13" s="68">
        <v>5.1499999999999997E-2</v>
      </c>
      <c r="N13" s="67">
        <v>1080</v>
      </c>
      <c r="O13" s="68">
        <v>8.9999999999999993E-3</v>
      </c>
      <c r="P13" s="69" t="s">
        <v>5</v>
      </c>
      <c r="Q13" s="61">
        <v>1</v>
      </c>
      <c r="R13" s="77">
        <v>2.5000000000000001E-3</v>
      </c>
      <c r="S13" s="61">
        <v>1</v>
      </c>
      <c r="T13" s="60">
        <v>1E-3</v>
      </c>
    </row>
    <row r="14" spans="1:34" ht="24" x14ac:dyDescent="0.25">
      <c r="L14" s="58">
        <v>30</v>
      </c>
      <c r="M14" s="59">
        <v>2.4E-2</v>
      </c>
      <c r="N14" s="58">
        <v>30</v>
      </c>
      <c r="O14" s="59">
        <v>3.5000000000000001E-3</v>
      </c>
      <c r="P14" s="69" t="s">
        <v>5</v>
      </c>
      <c r="Q14" s="61">
        <v>2</v>
      </c>
      <c r="R14" s="77">
        <v>2.5000000000000001E-3</v>
      </c>
      <c r="S14" s="61">
        <v>2</v>
      </c>
      <c r="T14" s="60">
        <v>1E-3</v>
      </c>
    </row>
    <row r="15" spans="1:34" ht="24" x14ac:dyDescent="0.25">
      <c r="C15" s="70"/>
      <c r="L15" s="58">
        <v>60</v>
      </c>
      <c r="M15" s="59">
        <v>2.5000000000000001E-2</v>
      </c>
      <c r="N15" s="58">
        <v>60</v>
      </c>
      <c r="O15" s="59">
        <v>5.0000000000000001E-3</v>
      </c>
      <c r="P15" s="69" t="s">
        <v>5</v>
      </c>
      <c r="Q15" s="61">
        <v>3</v>
      </c>
      <c r="R15" s="77">
        <v>2.5000000000000001E-3</v>
      </c>
      <c r="S15" s="61">
        <v>3</v>
      </c>
      <c r="T15" s="60">
        <v>1E-3</v>
      </c>
    </row>
    <row r="16" spans="1:34" ht="24" x14ac:dyDescent="0.25">
      <c r="L16" s="58">
        <v>90</v>
      </c>
      <c r="M16" s="59">
        <v>2.5999999999999999E-2</v>
      </c>
      <c r="N16" s="58">
        <v>90</v>
      </c>
      <c r="O16" s="59">
        <v>5.0000000000000001E-3</v>
      </c>
      <c r="P16" s="69" t="s">
        <v>5</v>
      </c>
      <c r="Q16" s="61">
        <v>4</v>
      </c>
      <c r="R16" s="77">
        <v>2.5000000000000001E-3</v>
      </c>
      <c r="S16" s="61">
        <v>4</v>
      </c>
      <c r="T16" s="60">
        <v>1E-3</v>
      </c>
    </row>
    <row r="17" spans="3:20" ht="24" x14ac:dyDescent="0.25">
      <c r="C17" s="70"/>
      <c r="L17" s="58">
        <v>120</v>
      </c>
      <c r="M17" s="59">
        <v>2.75E-2</v>
      </c>
      <c r="N17" s="58">
        <v>120</v>
      </c>
      <c r="O17" s="59">
        <v>5.0000000000000001E-3</v>
      </c>
      <c r="P17" s="57" t="s">
        <v>91</v>
      </c>
      <c r="Q17" s="56">
        <v>1</v>
      </c>
      <c r="R17" s="64">
        <v>1.7500000000000002E-2</v>
      </c>
      <c r="S17" s="56">
        <v>1</v>
      </c>
      <c r="T17" s="64">
        <v>0.01</v>
      </c>
    </row>
    <row r="18" spans="3:20" ht="24" x14ac:dyDescent="0.25">
      <c r="L18" s="58">
        <v>180</v>
      </c>
      <c r="M18" s="59">
        <v>3.5000000000000003E-2</v>
      </c>
      <c r="N18" s="58">
        <v>180</v>
      </c>
      <c r="O18" s="59">
        <v>6.0000000000000001E-3</v>
      </c>
      <c r="P18" s="57" t="s">
        <v>91</v>
      </c>
      <c r="Q18" s="56">
        <v>2</v>
      </c>
      <c r="R18" s="64">
        <v>1.7500000000000002E-2</v>
      </c>
      <c r="S18" s="56">
        <v>2</v>
      </c>
      <c r="T18" s="64">
        <v>0.01</v>
      </c>
    </row>
    <row r="19" spans="3:20" ht="24" x14ac:dyDescent="0.25">
      <c r="L19" s="56">
        <v>270</v>
      </c>
      <c r="M19" s="59">
        <v>0.04</v>
      </c>
      <c r="N19" s="56">
        <v>270</v>
      </c>
      <c r="O19" s="59">
        <v>6.4999999999999997E-3</v>
      </c>
      <c r="P19" s="57" t="s">
        <v>91</v>
      </c>
      <c r="Q19" s="56">
        <v>3</v>
      </c>
      <c r="R19" s="64">
        <v>0.02</v>
      </c>
      <c r="S19" s="56">
        <v>3</v>
      </c>
      <c r="T19" s="64">
        <v>1.2500000000000001E-2</v>
      </c>
    </row>
    <row r="20" spans="3:20" ht="24" x14ac:dyDescent="0.25">
      <c r="L20" s="58">
        <v>360</v>
      </c>
      <c r="M20" s="59">
        <v>4.65E-2</v>
      </c>
      <c r="N20" s="58">
        <v>360</v>
      </c>
      <c r="O20" s="59">
        <v>7.0000000000000001E-3</v>
      </c>
      <c r="P20" s="57" t="s">
        <v>91</v>
      </c>
      <c r="Q20" s="56">
        <v>4</v>
      </c>
      <c r="R20" s="64">
        <v>2.5000000000000001E-2</v>
      </c>
      <c r="S20" s="56">
        <v>4</v>
      </c>
      <c r="T20" s="64">
        <v>1.7500000000000002E-2</v>
      </c>
    </row>
    <row r="21" spans="3:20" ht="24" x14ac:dyDescent="0.25">
      <c r="L21" s="58">
        <v>540</v>
      </c>
      <c r="M21" s="59">
        <v>0.05</v>
      </c>
      <c r="N21" s="58">
        <v>540</v>
      </c>
      <c r="O21" s="59">
        <v>7.0000000000000001E-3</v>
      </c>
      <c r="P21" s="57" t="s">
        <v>91</v>
      </c>
      <c r="Q21" s="56">
        <v>5</v>
      </c>
      <c r="R21" s="64">
        <v>3.2500000000000001E-2</v>
      </c>
      <c r="S21" s="56">
        <v>5</v>
      </c>
      <c r="T21" s="64">
        <v>0.02</v>
      </c>
    </row>
    <row r="22" spans="3:20" x14ac:dyDescent="0.25">
      <c r="L22" s="58">
        <v>720</v>
      </c>
      <c r="M22" s="59">
        <v>5.2499999999999998E-2</v>
      </c>
      <c r="N22" s="58">
        <v>720</v>
      </c>
      <c r="O22" s="59">
        <v>0.01</v>
      </c>
      <c r="P22" s="92" t="s">
        <v>24</v>
      </c>
      <c r="Q22" s="93"/>
      <c r="R22" s="93"/>
      <c r="S22" s="93"/>
      <c r="T22" s="94"/>
    </row>
    <row r="23" spans="3:20" x14ac:dyDescent="0.25">
      <c r="L23" s="67">
        <v>1080</v>
      </c>
      <c r="M23" s="68">
        <v>5.5E-2</v>
      </c>
      <c r="N23" s="67">
        <v>1080</v>
      </c>
      <c r="O23" s="68">
        <v>0.01</v>
      </c>
      <c r="P23" s="57"/>
      <c r="Q23" s="90" t="s">
        <v>7</v>
      </c>
      <c r="R23" s="91"/>
      <c r="S23" s="90" t="s">
        <v>8</v>
      </c>
      <c r="T23" s="91"/>
    </row>
    <row r="24" spans="3:20" x14ac:dyDescent="0.25">
      <c r="L24" s="71"/>
      <c r="M24" s="72"/>
      <c r="P24" s="57"/>
      <c r="Q24" s="56" t="s">
        <v>21</v>
      </c>
      <c r="R24" s="56" t="s">
        <v>22</v>
      </c>
      <c r="S24" s="56" t="s">
        <v>21</v>
      </c>
      <c r="T24" s="56" t="s">
        <v>22</v>
      </c>
    </row>
    <row r="25" spans="3:20" ht="24" x14ac:dyDescent="0.25">
      <c r="L25" s="71"/>
      <c r="M25" s="72"/>
      <c r="P25" s="57" t="s">
        <v>2</v>
      </c>
      <c r="Q25" s="73">
        <v>0</v>
      </c>
      <c r="R25" s="56">
        <v>1</v>
      </c>
      <c r="S25" s="73">
        <v>0</v>
      </c>
      <c r="T25" s="56">
        <v>1</v>
      </c>
    </row>
    <row r="26" spans="3:20" ht="24" x14ac:dyDescent="0.25">
      <c r="L26" s="71"/>
      <c r="M26" s="72"/>
      <c r="P26" s="57" t="s">
        <v>2</v>
      </c>
      <c r="Q26" s="73">
        <v>1000</v>
      </c>
      <c r="R26" s="56">
        <v>2</v>
      </c>
      <c r="S26" s="73">
        <v>400</v>
      </c>
      <c r="T26" s="56">
        <v>2</v>
      </c>
    </row>
    <row r="27" spans="3:20" ht="24" x14ac:dyDescent="0.25">
      <c r="L27" s="71"/>
      <c r="M27" s="72"/>
      <c r="P27" s="57" t="s">
        <v>2</v>
      </c>
      <c r="Q27" s="73">
        <v>20000.009999999998</v>
      </c>
      <c r="R27" s="56">
        <v>3</v>
      </c>
      <c r="S27" s="73">
        <v>5000.01</v>
      </c>
      <c r="T27" s="56">
        <v>3</v>
      </c>
    </row>
    <row r="28" spans="3:20" ht="24" x14ac:dyDescent="0.25">
      <c r="L28" s="71"/>
      <c r="M28" s="72"/>
      <c r="P28" s="57" t="s">
        <v>2</v>
      </c>
      <c r="Q28" s="73">
        <v>50000.01</v>
      </c>
      <c r="R28" s="56">
        <v>4</v>
      </c>
      <c r="S28" s="73">
        <v>15000.01</v>
      </c>
      <c r="T28" s="56">
        <v>4</v>
      </c>
    </row>
    <row r="29" spans="3:20" ht="24" x14ac:dyDescent="0.25">
      <c r="L29" s="71"/>
      <c r="M29" s="72"/>
      <c r="P29" s="57" t="s">
        <v>2</v>
      </c>
      <c r="Q29" s="73">
        <v>75000.009999999995</v>
      </c>
      <c r="R29" s="56">
        <v>5</v>
      </c>
      <c r="S29" s="73">
        <v>50000.01</v>
      </c>
      <c r="T29" s="56">
        <v>5</v>
      </c>
    </row>
    <row r="30" spans="3:20" x14ac:dyDescent="0.25">
      <c r="P30" s="56" t="s">
        <v>4</v>
      </c>
      <c r="Q30" s="56">
        <v>0</v>
      </c>
      <c r="R30" s="56">
        <v>1</v>
      </c>
      <c r="S30" s="56">
        <v>0</v>
      </c>
      <c r="T30" s="56">
        <v>1</v>
      </c>
    </row>
    <row r="31" spans="3:20" x14ac:dyDescent="0.25">
      <c r="P31" s="56" t="s">
        <v>4</v>
      </c>
      <c r="Q31" s="73">
        <v>40000</v>
      </c>
      <c r="R31" s="56">
        <v>2</v>
      </c>
      <c r="S31" s="78">
        <v>5000</v>
      </c>
      <c r="T31" s="56">
        <v>2</v>
      </c>
    </row>
    <row r="32" spans="3:20" x14ac:dyDescent="0.25">
      <c r="P32" s="56" t="s">
        <v>4</v>
      </c>
      <c r="Q32" s="73">
        <v>70000</v>
      </c>
      <c r="R32" s="56">
        <v>3</v>
      </c>
      <c r="S32" s="78">
        <v>50000</v>
      </c>
      <c r="T32" s="56">
        <v>3</v>
      </c>
    </row>
    <row r="33" spans="16:20" x14ac:dyDescent="0.25">
      <c r="P33" s="56" t="s">
        <v>4</v>
      </c>
      <c r="Q33" s="73">
        <v>100000</v>
      </c>
      <c r="R33" s="56">
        <v>4</v>
      </c>
      <c r="S33" s="56"/>
      <c r="T33" s="56"/>
    </row>
    <row r="34" spans="16:20" ht="24" x14ac:dyDescent="0.25">
      <c r="P34" s="57" t="s">
        <v>5</v>
      </c>
      <c r="Q34" s="73">
        <v>0</v>
      </c>
      <c r="R34" s="74">
        <v>1</v>
      </c>
      <c r="S34" s="73">
        <v>0</v>
      </c>
      <c r="T34" s="74">
        <v>1</v>
      </c>
    </row>
    <row r="35" spans="16:20" ht="24" x14ac:dyDescent="0.25">
      <c r="P35" s="57" t="s">
        <v>5</v>
      </c>
      <c r="Q35" s="73">
        <v>5000</v>
      </c>
      <c r="R35" s="74">
        <v>2</v>
      </c>
      <c r="S35" s="73">
        <v>2000</v>
      </c>
      <c r="T35" s="74">
        <v>2</v>
      </c>
    </row>
    <row r="36" spans="16:20" ht="24" x14ac:dyDescent="0.25">
      <c r="P36" s="57" t="s">
        <v>5</v>
      </c>
      <c r="Q36" s="73">
        <v>20000</v>
      </c>
      <c r="R36" s="74">
        <v>3</v>
      </c>
      <c r="S36" s="73">
        <v>7500</v>
      </c>
      <c r="T36" s="74">
        <v>3</v>
      </c>
    </row>
    <row r="37" spans="16:20" ht="24" x14ac:dyDescent="0.25">
      <c r="P37" s="57" t="s">
        <v>5</v>
      </c>
      <c r="Q37" s="73">
        <v>50000</v>
      </c>
      <c r="R37" s="74">
        <v>4</v>
      </c>
      <c r="S37" s="73">
        <v>75000</v>
      </c>
      <c r="T37" s="74">
        <v>4</v>
      </c>
    </row>
    <row r="38" spans="16:20" ht="24" x14ac:dyDescent="0.25">
      <c r="P38" s="57" t="s">
        <v>91</v>
      </c>
      <c r="Q38" s="73">
        <v>0</v>
      </c>
      <c r="R38" s="56">
        <v>1</v>
      </c>
      <c r="S38" s="73">
        <v>0</v>
      </c>
      <c r="T38" s="56">
        <v>1</v>
      </c>
    </row>
    <row r="39" spans="16:20" ht="24" x14ac:dyDescent="0.25">
      <c r="P39" s="57" t="s">
        <v>91</v>
      </c>
      <c r="Q39" s="73">
        <v>1000</v>
      </c>
      <c r="R39" s="56">
        <v>2</v>
      </c>
      <c r="S39" s="73">
        <v>400</v>
      </c>
      <c r="T39" s="56">
        <v>2</v>
      </c>
    </row>
    <row r="40" spans="16:20" ht="24" x14ac:dyDescent="0.25">
      <c r="P40" s="57" t="s">
        <v>91</v>
      </c>
      <c r="Q40" s="73">
        <v>20000.009999999998</v>
      </c>
      <c r="R40" s="56">
        <v>3</v>
      </c>
      <c r="S40" s="73">
        <v>5000.01</v>
      </c>
      <c r="T40" s="56">
        <v>3</v>
      </c>
    </row>
    <row r="41" spans="16:20" ht="24" x14ac:dyDescent="0.25">
      <c r="P41" s="57" t="s">
        <v>91</v>
      </c>
      <c r="Q41" s="73">
        <v>50000.01</v>
      </c>
      <c r="R41" s="56">
        <v>4</v>
      </c>
      <c r="S41" s="73">
        <v>15000.01</v>
      </c>
      <c r="T41" s="56">
        <v>4</v>
      </c>
    </row>
    <row r="42" spans="16:20" ht="24" x14ac:dyDescent="0.25">
      <c r="P42" s="57" t="s">
        <v>91</v>
      </c>
      <c r="Q42" s="73">
        <v>75000.009999999995</v>
      </c>
      <c r="R42" s="56">
        <v>5</v>
      </c>
      <c r="S42" s="73">
        <v>50000.01</v>
      </c>
      <c r="T42" s="56">
        <v>5</v>
      </c>
    </row>
    <row r="43" spans="16:20" ht="24" x14ac:dyDescent="0.25">
      <c r="P43" s="57" t="s">
        <v>25</v>
      </c>
      <c r="Q43" s="73">
        <v>0</v>
      </c>
      <c r="R43" s="56">
        <v>1</v>
      </c>
      <c r="S43" s="73">
        <v>0</v>
      </c>
      <c r="T43" s="56">
        <v>1</v>
      </c>
    </row>
    <row r="44" spans="16:20" ht="24" x14ac:dyDescent="0.25">
      <c r="P44" s="57" t="s">
        <v>25</v>
      </c>
      <c r="Q44" s="73">
        <v>50000.01</v>
      </c>
      <c r="R44" s="56">
        <v>2</v>
      </c>
      <c r="S44" s="73">
        <v>30000.01</v>
      </c>
      <c r="T44" s="56">
        <v>2</v>
      </c>
    </row>
  </sheetData>
  <sheetProtection password="E389" sheet="1" selectLockedCells="1" selectUnlockedCells="1"/>
  <mergeCells count="16">
    <mergeCell ref="D2:G2"/>
    <mergeCell ref="D11:E11"/>
    <mergeCell ref="F11:G11"/>
    <mergeCell ref="L2:O2"/>
    <mergeCell ref="P2:T2"/>
    <mergeCell ref="H2:K2"/>
    <mergeCell ref="H11:I11"/>
    <mergeCell ref="J11:K11"/>
    <mergeCell ref="AG2:AH2"/>
    <mergeCell ref="AA2:AC2"/>
    <mergeCell ref="Q23:R23"/>
    <mergeCell ref="S23:T23"/>
    <mergeCell ref="W2:Y2"/>
    <mergeCell ref="U2:V2"/>
    <mergeCell ref="P22:T22"/>
    <mergeCell ref="AD2:AF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L38"/>
  <sheetViews>
    <sheetView workbookViewId="0">
      <selection activeCell="J14" sqref="J14"/>
    </sheetView>
  </sheetViews>
  <sheetFormatPr baseColWidth="10" defaultColWidth="9.140625" defaultRowHeight="12" x14ac:dyDescent="0.2"/>
  <cols>
    <col min="1" max="1" width="7.7109375" style="2" bestFit="1" customWidth="1"/>
    <col min="2" max="2" width="4.7109375" style="2" bestFit="1" customWidth="1"/>
    <col min="3" max="3" width="9.5703125" style="2" bestFit="1" customWidth="1"/>
    <col min="4" max="4" width="10.42578125" style="2" bestFit="1" customWidth="1"/>
    <col min="5" max="5" width="9.28515625" style="2" customWidth="1"/>
    <col min="6" max="6" width="9.28515625" style="2" bestFit="1" customWidth="1"/>
    <col min="7" max="7" width="14.5703125" style="2" bestFit="1" customWidth="1"/>
    <col min="8" max="8" width="10.85546875" style="2" customWidth="1"/>
    <col min="9" max="9" width="13.5703125" style="2" bestFit="1" customWidth="1"/>
    <col min="10" max="11" width="9.140625" style="2"/>
    <col min="12" max="12" width="10.28515625" style="2" bestFit="1" customWidth="1"/>
    <col min="13" max="16384" width="9.140625" style="2"/>
  </cols>
  <sheetData>
    <row r="1" spans="1:12" ht="45" x14ac:dyDescent="0.2">
      <c r="A1" s="4" t="s">
        <v>67</v>
      </c>
      <c r="B1" s="4" t="s">
        <v>66</v>
      </c>
      <c r="C1" s="4" t="s">
        <v>68</v>
      </c>
      <c r="D1" s="4" t="s">
        <v>69</v>
      </c>
      <c r="E1" s="10" t="s">
        <v>85</v>
      </c>
      <c r="F1" s="4" t="s">
        <v>70</v>
      </c>
      <c r="G1" s="4" t="s">
        <v>71</v>
      </c>
      <c r="H1" s="10" t="s">
        <v>86</v>
      </c>
      <c r="I1" s="4" t="s">
        <v>72</v>
      </c>
      <c r="J1" s="4" t="s">
        <v>73</v>
      </c>
    </row>
    <row r="2" spans="1:12" x14ac:dyDescent="0.2">
      <c r="A2" s="1">
        <v>30</v>
      </c>
      <c r="B2" s="5"/>
      <c r="C2" s="6">
        <f>+Simulador!$C$20</f>
        <v>200</v>
      </c>
      <c r="D2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2" s="5">
        <f>+IF(AND(OR(Simulador!$I$12="Ambos",Simulador!$I$12="Envío físico"),Simulador!$C$23="PEN"),10,IF(AND(OR(Simulador!$I$12="Ambos",Simulador!$I$12="Envío físico"),Simulador!$C$23="USD"),4,0))</f>
        <v>0</v>
      </c>
      <c r="F2" s="7">
        <f>IF(Simulador!$C$12="Cuenta Rolando",FV((((1+Simulador!$C$21)^(1/360))-1),30,,-C2)-C2,(((1+Simulador!$C$21)^(1/360))-1)*C2*30)</f>
        <v>0.6948990006999054</v>
      </c>
      <c r="G2" s="7">
        <f>+F2</f>
        <v>0.6948990006999054</v>
      </c>
      <c r="H2" s="11">
        <f>+E2</f>
        <v>0</v>
      </c>
      <c r="I2" s="5">
        <f>+D2</f>
        <v>0</v>
      </c>
      <c r="J2" s="3"/>
    </row>
    <row r="3" spans="1:12" x14ac:dyDescent="0.2">
      <c r="A3" s="1">
        <v>60</v>
      </c>
      <c r="B3" s="1" t="s">
        <v>42</v>
      </c>
      <c r="C3" s="7">
        <f>+C2-D2-E2+F2</f>
        <v>200.69489900069991</v>
      </c>
      <c r="D3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3" s="5">
        <f>+IF(AND(OR(Simulador!$I$12="Ambos",Simulador!$I$12="Envío físico"),Simulador!$C$23="PEN"),10,IF(AND(OR(Simulador!$I$12="Ambos",Simulador!$I$12="Envío físico"),Simulador!$C$23="USD"),4,0))</f>
        <v>0</v>
      </c>
      <c r="F3" s="7">
        <f>IF(Simulador!$C$12="Cuenta Rolando",FV((((1+Simulador!$C$21)^(1/360))-1),30,,-C3)-C3,(((1+Simulador!$C$21)^(1/360))-1)*C3*30)</f>
        <v>0.69731342380578099</v>
      </c>
      <c r="G3" s="7">
        <f>+G2+F3</f>
        <v>1.3922124245056864</v>
      </c>
      <c r="H3" s="11">
        <f>+H2+E3</f>
        <v>0</v>
      </c>
      <c r="I3" s="5">
        <f>+I2+D3</f>
        <v>0</v>
      </c>
      <c r="J3" s="8"/>
    </row>
    <row r="4" spans="1:12" x14ac:dyDescent="0.2">
      <c r="A4" s="1">
        <v>90</v>
      </c>
      <c r="B4" s="1" t="s">
        <v>43</v>
      </c>
      <c r="C4" s="7">
        <f t="shared" ref="C4:C24" si="0">+C3-D3-E3+F3</f>
        <v>201.39221242450569</v>
      </c>
      <c r="D4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4" s="5">
        <f>+IF(AND(OR(Simulador!$I$12="Ambos",Simulador!$I$12="Envío físico"),Simulador!$C$23="PEN"),10,IF(AND(OR(Simulador!$I$12="Ambos",Simulador!$I$12="Envío físico"),Simulador!$C$23="USD"),4,0))</f>
        <v>0</v>
      </c>
      <c r="F4" s="7">
        <f>IF(Simulador!$C$12="Cuenta Rolando",FV((((1+Simulador!$C$21)^(1/360))-1),30,,-C4)-C4,(((1+Simulador!$C$21)^(1/360))-1)*C4*30)</f>
        <v>0.69973623581265088</v>
      </c>
      <c r="G4" s="7">
        <f t="shared" ref="G4:G24" si="1">+G3+F4</f>
        <v>2.0919486603183373</v>
      </c>
      <c r="H4" s="11">
        <f t="shared" ref="H4:H24" si="2">+H3+E4</f>
        <v>0</v>
      </c>
      <c r="I4" s="5">
        <f t="shared" ref="I4:I24" si="3">+I3+D4</f>
        <v>0</v>
      </c>
      <c r="J4" s="3"/>
    </row>
    <row r="5" spans="1:12" x14ac:dyDescent="0.2">
      <c r="A5" s="1">
        <v>120</v>
      </c>
      <c r="B5" s="1" t="s">
        <v>44</v>
      </c>
      <c r="C5" s="7">
        <f t="shared" si="0"/>
        <v>202.09194866031834</v>
      </c>
      <c r="D5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5" s="5">
        <f>+IF(AND(OR(Simulador!$I$12="Ambos",Simulador!$I$12="Envío físico"),Simulador!$C$23="PEN"),10,IF(AND(OR(Simulador!$I$12="Ambos",Simulador!$I$12="Envío físico"),Simulador!$C$23="USD"),4,0))</f>
        <v>0</v>
      </c>
      <c r="F5" s="7">
        <f>IF(Simulador!$C$12="Cuenta Rolando",FV((((1+Simulador!$C$21)^(1/360))-1),30,,-C5)-C5,(((1+Simulador!$C$21)^(1/360))-1)*C5*30)</f>
        <v>0.70216746586774548</v>
      </c>
      <c r="G5" s="7">
        <f t="shared" si="1"/>
        <v>2.7941161261860827</v>
      </c>
      <c r="H5" s="11">
        <f t="shared" si="2"/>
        <v>0</v>
      </c>
      <c r="I5" s="5">
        <f t="shared" si="3"/>
        <v>0</v>
      </c>
      <c r="J5" s="3"/>
    </row>
    <row r="6" spans="1:12" x14ac:dyDescent="0.2">
      <c r="A6" s="5"/>
      <c r="B6" s="1" t="s">
        <v>45</v>
      </c>
      <c r="C6" s="7">
        <f t="shared" si="0"/>
        <v>202.79411612618608</v>
      </c>
      <c r="D6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6" s="5">
        <f>+IF(AND(OR(Simulador!$I$12="Ambos",Simulador!$I$12="Envío físico"),Simulador!$C$23="PEN"),10,IF(AND(OR(Simulador!$I$12="Ambos",Simulador!$I$12="Envío físico"),Simulador!$C$23="USD"),4,0))</f>
        <v>0</v>
      </c>
      <c r="F6" s="7">
        <f>IF(Simulador!$C$12="Cuenta Rolando",FV((((1+Simulador!$C$21)^(1/360))-1),30,,-C6)-C6,(((1+Simulador!$C$21)^(1/360))-1)*C6*30)</f>
        <v>0.70460714321953333</v>
      </c>
      <c r="G6" s="7">
        <f t="shared" si="1"/>
        <v>3.4987232694056161</v>
      </c>
      <c r="H6" s="11">
        <f t="shared" si="2"/>
        <v>0</v>
      </c>
      <c r="I6" s="5">
        <f t="shared" si="3"/>
        <v>0</v>
      </c>
      <c r="J6" s="3"/>
    </row>
    <row r="7" spans="1:12" x14ac:dyDescent="0.2">
      <c r="A7" s="1">
        <v>180</v>
      </c>
      <c r="B7" s="1" t="s">
        <v>46</v>
      </c>
      <c r="C7" s="7">
        <f t="shared" si="0"/>
        <v>203.49872326940562</v>
      </c>
      <c r="D7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7" s="5">
        <f>+IF(AND(OR(Simulador!$I$12="Ambos",Simulador!$I$12="Envío físico"),Simulador!$C$23="PEN"),10,IF(AND(OR(Simulador!$I$12="Ambos",Simulador!$I$12="Envío físico"),Simulador!$C$23="USD"),4,0))</f>
        <v>0</v>
      </c>
      <c r="F7" s="7">
        <f>IF(Simulador!$C$12="Cuenta Rolando",FV((((1+Simulador!$C$21)^(1/360))-1),30,,-C7)-C7,(((1+Simulador!$C$21)^(1/360))-1)*C7*30)</f>
        <v>0.70705529721809057</v>
      </c>
      <c r="G7" s="7">
        <f t="shared" si="1"/>
        <v>4.2057785666237066</v>
      </c>
      <c r="H7" s="11">
        <f t="shared" si="2"/>
        <v>0</v>
      </c>
      <c r="I7" s="5">
        <f t="shared" si="3"/>
        <v>0</v>
      </c>
      <c r="J7" s="3"/>
    </row>
    <row r="8" spans="1:12" x14ac:dyDescent="0.2">
      <c r="A8" s="5"/>
      <c r="B8" s="1" t="s">
        <v>47</v>
      </c>
      <c r="C8" s="7">
        <f t="shared" si="0"/>
        <v>204.20577856662371</v>
      </c>
      <c r="D8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8" s="5">
        <f>+IF(AND(OR(Simulador!$I$12="Ambos",Simulador!$I$12="Envío físico"),Simulador!$C$23="PEN"),10,IF(AND(OR(Simulador!$I$12="Ambos",Simulador!$I$12="Envío físico"),Simulador!$C$23="USD"),4,0))</f>
        <v>0</v>
      </c>
      <c r="F8" s="7">
        <f>IF(Simulador!$C$12="Cuenta Rolando",FV((((1+Simulador!$C$21)^(1/360))-1),30,,-C8)-C8,(((1+Simulador!$C$21)^(1/360))-1)*C8*30)</f>
        <v>0.70951195731547045</v>
      </c>
      <c r="G8" s="7">
        <f t="shared" si="1"/>
        <v>4.9152905239391771</v>
      </c>
      <c r="H8" s="11">
        <f t="shared" si="2"/>
        <v>0</v>
      </c>
      <c r="I8" s="5">
        <f t="shared" si="3"/>
        <v>0</v>
      </c>
      <c r="J8" s="3"/>
    </row>
    <row r="9" spans="1:12" x14ac:dyDescent="0.2">
      <c r="A9" s="5"/>
      <c r="B9" s="1" t="s">
        <v>48</v>
      </c>
      <c r="C9" s="7">
        <f t="shared" si="0"/>
        <v>204.91529052393918</v>
      </c>
      <c r="D9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9" s="5">
        <f>+IF(AND(OR(Simulador!$I$12="Ambos",Simulador!$I$12="Envío físico"),Simulador!$C$23="PEN"),10,IF(AND(OR(Simulador!$I$12="Ambos",Simulador!$I$12="Envío físico"),Simulador!$C$23="USD"),4,0))</f>
        <v>0</v>
      </c>
      <c r="F9" s="7">
        <f>IF(Simulador!$C$12="Cuenta Rolando",FV((((1+Simulador!$C$21)^(1/360))-1),30,,-C9)-C9,(((1+Simulador!$C$21)^(1/360))-1)*C9*30)</f>
        <v>0.71197715306607279</v>
      </c>
      <c r="G9" s="7">
        <f t="shared" si="1"/>
        <v>5.6272676770052499</v>
      </c>
      <c r="H9" s="11">
        <f t="shared" si="2"/>
        <v>0</v>
      </c>
      <c r="I9" s="5">
        <f t="shared" si="3"/>
        <v>0</v>
      </c>
      <c r="J9" s="3"/>
    </row>
    <row r="10" spans="1:12" x14ac:dyDescent="0.2">
      <c r="A10" s="1">
        <v>270</v>
      </c>
      <c r="B10" s="1" t="s">
        <v>49</v>
      </c>
      <c r="C10" s="7">
        <f t="shared" si="0"/>
        <v>205.62726767700525</v>
      </c>
      <c r="D10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10" s="5">
        <f>+IF(AND(OR(Simulador!$I$12="Ambos",Simulador!$I$12="Envío físico"),Simulador!$C$23="PEN"),10,IF(AND(OR(Simulador!$I$12="Ambos",Simulador!$I$12="Envío físico"),Simulador!$C$23="USD"),4,0))</f>
        <v>0</v>
      </c>
      <c r="F10" s="7">
        <f>IF(Simulador!$C$12="Cuenta Rolando",FV((((1+Simulador!$C$21)^(1/360))-1),30,,-C10)-C10,(((1+Simulador!$C$21)^(1/360))-1)*C10*30)</f>
        <v>0.71445091412701345</v>
      </c>
      <c r="G10" s="7">
        <f t="shared" si="1"/>
        <v>6.3417185911322633</v>
      </c>
      <c r="H10" s="11">
        <f t="shared" si="2"/>
        <v>0</v>
      </c>
      <c r="I10" s="5">
        <f t="shared" si="3"/>
        <v>0</v>
      </c>
      <c r="J10" s="3"/>
    </row>
    <row r="11" spans="1:12" x14ac:dyDescent="0.2">
      <c r="A11" s="5"/>
      <c r="B11" s="1" t="s">
        <v>50</v>
      </c>
      <c r="C11" s="7">
        <f t="shared" si="0"/>
        <v>206.34171859113226</v>
      </c>
      <c r="D11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11" s="5">
        <f>+IF(AND(OR(Simulador!$I$12="Ambos",Simulador!$I$12="Envío físico"),Simulador!$C$23="PEN"),10,IF(AND(OR(Simulador!$I$12="Ambos",Simulador!$I$12="Envío físico"),Simulador!$C$23="USD"),4,0))</f>
        <v>0</v>
      </c>
      <c r="F11" s="7">
        <f>IF(Simulador!$C$12="Cuenta Rolando",FV((((1+Simulador!$C$21)^(1/360))-1),30,,-C11)-C11,(((1+Simulador!$C$21)^(1/360))-1)*C11*30)</f>
        <v>0.71693327025838016</v>
      </c>
      <c r="G11" s="7">
        <f t="shared" si="1"/>
        <v>7.0586518613906435</v>
      </c>
      <c r="H11" s="11">
        <f t="shared" si="2"/>
        <v>0</v>
      </c>
      <c r="I11" s="5">
        <f t="shared" si="3"/>
        <v>0</v>
      </c>
      <c r="J11" s="3"/>
    </row>
    <row r="12" spans="1:12" x14ac:dyDescent="0.2">
      <c r="A12" s="5"/>
      <c r="B12" s="1" t="s">
        <v>51</v>
      </c>
      <c r="C12" s="7">
        <f t="shared" si="0"/>
        <v>207.05865186139064</v>
      </c>
      <c r="D12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12" s="5">
        <f>+IF(AND(OR(Simulador!$I$12="Ambos",Simulador!$I$12="Envío físico"),Simulador!$C$23="PEN"),10,IF(AND(OR(Simulador!$I$12="Ambos",Simulador!$I$12="Envío físico"),Simulador!$C$23="USD"),4,0))</f>
        <v>0</v>
      </c>
      <c r="F12" s="7">
        <f>IF(Simulador!$C$12="Cuenta Rolando",FV((((1+Simulador!$C$21)^(1/360))-1),30,,-C12)-C12,(((1+Simulador!$C$21)^(1/360))-1)*C12*30)</f>
        <v>0.7194242513237441</v>
      </c>
      <c r="G12" s="7">
        <f t="shared" si="1"/>
        <v>7.7780761127143876</v>
      </c>
      <c r="H12" s="11">
        <f t="shared" si="2"/>
        <v>0</v>
      </c>
      <c r="I12" s="5">
        <f t="shared" si="3"/>
        <v>0</v>
      </c>
      <c r="J12" s="3"/>
    </row>
    <row r="13" spans="1:12" x14ac:dyDescent="0.2">
      <c r="A13" s="1">
        <v>360</v>
      </c>
      <c r="B13" s="1" t="s">
        <v>52</v>
      </c>
      <c r="C13" s="7">
        <f t="shared" si="0"/>
        <v>207.77807611271439</v>
      </c>
      <c r="D13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13" s="5">
        <f>+IF(AND(OR(Simulador!$I$12="Ambos",Simulador!$I$12="Envío físico"),Simulador!$C$23="PEN"),10,IF(AND(OR(Simulador!$I$12="Ambos",Simulador!$I$12="Envío físico"),Simulador!$C$23="USD"),4,0))</f>
        <v>0</v>
      </c>
      <c r="F13" s="7">
        <f>IF(Simulador!$C$12="Cuenta Rolando",FV((((1+Simulador!$C$21)^(1/360))-1),30,,-C13)-C13,(((1+Simulador!$C$21)^(1/360))-1)*C13*30)</f>
        <v>0.72192388729035883</v>
      </c>
      <c r="G13" s="7">
        <f t="shared" si="1"/>
        <v>8.5000000000047464</v>
      </c>
      <c r="H13" s="11">
        <f t="shared" si="2"/>
        <v>0</v>
      </c>
      <c r="I13" s="5">
        <f t="shared" si="3"/>
        <v>0</v>
      </c>
      <c r="J13" s="3"/>
      <c r="L13" s="37"/>
    </row>
    <row r="14" spans="1:12" x14ac:dyDescent="0.2">
      <c r="A14" s="5"/>
      <c r="B14" s="1" t="s">
        <v>53</v>
      </c>
      <c r="C14" s="7">
        <f t="shared" si="0"/>
        <v>208.50000000000475</v>
      </c>
      <c r="D14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14" s="5">
        <f>+IF(AND(OR(Simulador!$I$12="Ambos",Simulador!$I$12="Envío físico"),Simulador!$C$23="PEN"),10,IF(AND(OR(Simulador!$I$12="Ambos",Simulador!$I$12="Envío físico"),Simulador!$C$23="USD"),4,0))</f>
        <v>0</v>
      </c>
      <c r="F14" s="7">
        <f>IF(Simulador!$C$12="Cuenta Rolando",FV((((1+Simulador!$C$21)^(1/360))-1),30,,-C14)-C14,(((1+Simulador!$C$21)^(1/360))-1)*C14*30)</f>
        <v>0.72443220822967191</v>
      </c>
      <c r="G14" s="7">
        <f t="shared" si="1"/>
        <v>9.2244322082344183</v>
      </c>
      <c r="H14" s="11">
        <f t="shared" si="2"/>
        <v>0</v>
      </c>
      <c r="I14" s="5">
        <f t="shared" si="3"/>
        <v>0</v>
      </c>
      <c r="J14" s="9">
        <f>+C14/C2-1</f>
        <v>4.2500000000023741E-2</v>
      </c>
      <c r="L14" s="38"/>
    </row>
    <row r="15" spans="1:12" x14ac:dyDescent="0.2">
      <c r="A15" s="5"/>
      <c r="B15" s="1" t="s">
        <v>54</v>
      </c>
      <c r="C15" s="7">
        <f t="shared" si="0"/>
        <v>209.22443220823442</v>
      </c>
      <c r="D15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15" s="5">
        <f>+IF(AND(OR(Simulador!$I$12="Ambos",Simulador!$I$12="Envío físico"),Simulador!$C$23="PEN"),10,IF(AND(OR(Simulador!$I$12="Ambos",Simulador!$I$12="Envío físico"),Simulador!$C$23="USD"),4,0))</f>
        <v>0</v>
      </c>
      <c r="F15" s="7">
        <f>IF(Simulador!$C$12="Cuenta Rolando",FV((((1+Simulador!$C$21)^(1/360))-1),30,,-C15)-C15,(((1+Simulador!$C$21)^(1/360))-1)*C15*30)</f>
        <v>0.72694924431752383</v>
      </c>
      <c r="G15" s="7">
        <f t="shared" si="1"/>
        <v>9.9513814525519422</v>
      </c>
      <c r="H15" s="11">
        <f t="shared" si="2"/>
        <v>0</v>
      </c>
      <c r="I15" s="5">
        <f t="shared" si="3"/>
        <v>0</v>
      </c>
      <c r="J15" s="3"/>
    </row>
    <row r="16" spans="1:12" x14ac:dyDescent="0.2">
      <c r="A16" s="5"/>
      <c r="B16" s="1" t="s">
        <v>55</v>
      </c>
      <c r="C16" s="7">
        <f t="shared" si="0"/>
        <v>209.95138145255194</v>
      </c>
      <c r="D16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16" s="5">
        <f>+IF(AND(OR(Simulador!$I$12="Ambos",Simulador!$I$12="Envío físico"),Simulador!$C$23="PEN"),10,IF(AND(OR(Simulador!$I$12="Ambos",Simulador!$I$12="Envío físico"),Simulador!$C$23="USD"),4,0))</f>
        <v>0</v>
      </c>
      <c r="F16" s="7">
        <f>IF(Simulador!$C$12="Cuenta Rolando",FV((((1+Simulador!$C$21)^(1/360))-1),30,,-C16)-C16,(((1+Simulador!$C$21)^(1/360))-1)*C16*30)</f>
        <v>0.72947502583471646</v>
      </c>
      <c r="G16" s="7">
        <f t="shared" si="1"/>
        <v>10.680856478386659</v>
      </c>
      <c r="H16" s="11">
        <f t="shared" si="2"/>
        <v>0</v>
      </c>
      <c r="I16" s="5">
        <f t="shared" si="3"/>
        <v>0</v>
      </c>
      <c r="J16" s="3"/>
    </row>
    <row r="17" spans="1:11" x14ac:dyDescent="0.2">
      <c r="A17" s="5"/>
      <c r="B17" s="1" t="s">
        <v>56</v>
      </c>
      <c r="C17" s="7">
        <f t="shared" si="0"/>
        <v>210.68085647838666</v>
      </c>
      <c r="D17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17" s="5">
        <f>+IF(AND(OR(Simulador!$I$12="Ambos",Simulador!$I$12="Envío físico"),Simulador!$C$23="PEN"),10,IF(AND(OR(Simulador!$I$12="Ambos",Simulador!$I$12="Envío físico"),Simulador!$C$23="USD"),4,0))</f>
        <v>0</v>
      </c>
      <c r="F17" s="7">
        <f>IF(Simulador!$C$12="Cuenta Rolando",FV((((1+Simulador!$C$21)^(1/360))-1),30,,-C17)-C17,(((1+Simulador!$C$21)^(1/360))-1)*C17*30)</f>
        <v>0.73200958316715514</v>
      </c>
      <c r="G17" s="7">
        <f t="shared" si="1"/>
        <v>11.412866061553814</v>
      </c>
      <c r="H17" s="11">
        <f t="shared" si="2"/>
        <v>0</v>
      </c>
      <c r="I17" s="5">
        <f t="shared" si="3"/>
        <v>0</v>
      </c>
      <c r="J17" s="3"/>
    </row>
    <row r="18" spans="1:11" x14ac:dyDescent="0.2">
      <c r="A18" s="5"/>
      <c r="B18" s="1" t="s">
        <v>57</v>
      </c>
      <c r="C18" s="7">
        <f t="shared" si="0"/>
        <v>211.41286606155381</v>
      </c>
      <c r="D18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18" s="5">
        <f>+IF(AND(OR(Simulador!$I$12="Ambos",Simulador!$I$12="Envío físico"),Simulador!$C$23="PEN"),10,IF(AND(OR(Simulador!$I$12="Ambos",Simulador!$I$12="Envío físico"),Simulador!$C$23="USD"),4,0))</f>
        <v>0</v>
      </c>
      <c r="F18" s="7">
        <f>IF(Simulador!$C$12="Cuenta Rolando",FV((((1+Simulador!$C$21)^(1/360))-1),30,,-C18)-C18,(((1+Simulador!$C$21)^(1/360))-1)*C18*30)</f>
        <v>0.73455294680638872</v>
      </c>
      <c r="G18" s="7">
        <f t="shared" si="1"/>
        <v>12.147419008360202</v>
      </c>
      <c r="H18" s="11">
        <f t="shared" si="2"/>
        <v>0</v>
      </c>
      <c r="I18" s="5">
        <f t="shared" si="3"/>
        <v>0</v>
      </c>
      <c r="J18" s="3"/>
    </row>
    <row r="19" spans="1:11" x14ac:dyDescent="0.2">
      <c r="A19" s="1">
        <v>540</v>
      </c>
      <c r="B19" s="1" t="s">
        <v>58</v>
      </c>
      <c r="C19" s="7">
        <f t="shared" si="0"/>
        <v>212.1474190083602</v>
      </c>
      <c r="D19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19" s="5">
        <f>+IF(AND(OR(Simulador!$I$12="Ambos",Simulador!$I$12="Envío físico"),Simulador!$C$23="PEN"),10,IF(AND(OR(Simulador!$I$12="Ambos",Simulador!$I$12="Envío físico"),Simulador!$C$23="USD"),4,0))</f>
        <v>0</v>
      </c>
      <c r="F19" s="7">
        <f>IF(Simulador!$C$12="Cuenta Rolando",FV((((1+Simulador!$C$21)^(1/360))-1),30,,-C19)-C19,(((1+Simulador!$C$21)^(1/360))-1)*C19*30)</f>
        <v>0.73710514734986532</v>
      </c>
      <c r="G19" s="7">
        <f t="shared" si="1"/>
        <v>12.884524155710068</v>
      </c>
      <c r="H19" s="11">
        <f t="shared" si="2"/>
        <v>0</v>
      </c>
      <c r="I19" s="5">
        <f t="shared" si="3"/>
        <v>0</v>
      </c>
      <c r="J19" s="3"/>
    </row>
    <row r="20" spans="1:11" x14ac:dyDescent="0.2">
      <c r="A20" s="5"/>
      <c r="B20" s="1" t="s">
        <v>59</v>
      </c>
      <c r="C20" s="7">
        <f t="shared" si="0"/>
        <v>212.88452415571007</v>
      </c>
      <c r="D20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20" s="5">
        <f>+IF(AND(OR(Simulador!$I$12="Ambos",Simulador!$I$12="Envío físico"),Simulador!$C$23="PEN"),10,IF(AND(OR(Simulador!$I$12="Ambos",Simulador!$I$12="Envío físico"),Simulador!$C$23="USD"),4,0))</f>
        <v>0</v>
      </c>
      <c r="F20" s="7">
        <f>IF(Simulador!$C$12="Cuenta Rolando",FV((((1+Simulador!$C$21)^(1/360))-1),30,,-C20)-C20,(((1+Simulador!$C$21)^(1/360))-1)*C20*30)</f>
        <v>0.73966621550138711</v>
      </c>
      <c r="G20" s="7">
        <f t="shared" si="1"/>
        <v>13.624190371211455</v>
      </c>
      <c r="H20" s="11">
        <f t="shared" si="2"/>
        <v>0</v>
      </c>
      <c r="I20" s="5">
        <f t="shared" si="3"/>
        <v>0</v>
      </c>
      <c r="J20" s="3"/>
    </row>
    <row r="21" spans="1:11" x14ac:dyDescent="0.2">
      <c r="A21" s="5"/>
      <c r="B21" s="1" t="s">
        <v>60</v>
      </c>
      <c r="C21" s="7">
        <f t="shared" si="0"/>
        <v>213.62419037121145</v>
      </c>
      <c r="D21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21" s="5">
        <f>+IF(AND(OR(Simulador!$I$12="Ambos",Simulador!$I$12="Envío físico"),Simulador!$C$23="PEN"),10,IF(AND(OR(Simulador!$I$12="Ambos",Simulador!$I$12="Envío físico"),Simulador!$C$23="USD"),4,0))</f>
        <v>0</v>
      </c>
      <c r="F21" s="7">
        <f>IF(Simulador!$C$12="Cuenta Rolando",FV((((1+Simulador!$C$21)^(1/360))-1),30,,-C21)-C21,(((1+Simulador!$C$21)^(1/360))-1)*C21*30)</f>
        <v>0.74223618207139452</v>
      </c>
      <c r="G21" s="7">
        <f t="shared" si="1"/>
        <v>14.366426553282849</v>
      </c>
      <c r="H21" s="11">
        <f t="shared" si="2"/>
        <v>0</v>
      </c>
      <c r="I21" s="5">
        <f t="shared" si="3"/>
        <v>0</v>
      </c>
      <c r="J21" s="3"/>
    </row>
    <row r="22" spans="1:11" x14ac:dyDescent="0.2">
      <c r="A22" s="5"/>
      <c r="B22" s="1" t="s">
        <v>61</v>
      </c>
      <c r="C22" s="7">
        <f t="shared" si="0"/>
        <v>214.36642655328285</v>
      </c>
      <c r="D22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22" s="5">
        <f>+IF(AND(OR(Simulador!$I$12="Ambos",Simulador!$I$12="Envío físico"),Simulador!$C$23="PEN"),10,IF(AND(OR(Simulador!$I$12="Ambos",Simulador!$I$12="Envío físico"),Simulador!$C$23="USD"),4,0))</f>
        <v>0</v>
      </c>
      <c r="F22" s="7">
        <f>IF(Simulador!$C$12="Cuenta Rolando",FV((((1+Simulador!$C$21)^(1/360))-1),30,,-C22)-C22,(((1+Simulador!$C$21)^(1/360))-1)*C22*30)</f>
        <v>0.74481507797742097</v>
      </c>
      <c r="G22" s="7">
        <f t="shared" si="1"/>
        <v>15.11124163126027</v>
      </c>
      <c r="H22" s="11">
        <f t="shared" si="2"/>
        <v>0</v>
      </c>
      <c r="I22" s="5">
        <f t="shared" si="3"/>
        <v>0</v>
      </c>
      <c r="J22" s="3"/>
    </row>
    <row r="23" spans="1:11" x14ac:dyDescent="0.2">
      <c r="A23" s="5"/>
      <c r="B23" s="1" t="s">
        <v>62</v>
      </c>
      <c r="C23" s="7">
        <f t="shared" si="0"/>
        <v>215.11124163126027</v>
      </c>
      <c r="D23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23" s="5">
        <f>+IF(AND(OR(Simulador!$I$12="Ambos",Simulador!$I$12="Envío físico"),Simulador!$C$23="PEN"),10,IF(AND(OR(Simulador!$I$12="Ambos",Simulador!$I$12="Envío físico"),Simulador!$C$23="USD"),4,0))</f>
        <v>0</v>
      </c>
      <c r="F23" s="7">
        <f>IF(Simulador!$C$12="Cuenta Rolando",FV((((1+Simulador!$C$21)^(1/360))-1),30,,-C23)-C23,(((1+Simulador!$C$21)^(1/360))-1)*C23*30)</f>
        <v>0.74740293424437709</v>
      </c>
      <c r="G23" s="7">
        <f t="shared" si="1"/>
        <v>15.858644565504648</v>
      </c>
      <c r="H23" s="11">
        <f t="shared" si="2"/>
        <v>0</v>
      </c>
      <c r="I23" s="5">
        <f t="shared" si="3"/>
        <v>0</v>
      </c>
      <c r="J23" s="3"/>
    </row>
    <row r="24" spans="1:11" x14ac:dyDescent="0.2">
      <c r="A24" s="5"/>
      <c r="B24" s="1" t="s">
        <v>63</v>
      </c>
      <c r="C24" s="7">
        <f t="shared" si="0"/>
        <v>215.85864456550465</v>
      </c>
      <c r="D24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24" s="5">
        <f>+IF(AND(OR(Simulador!$I$12="Ambos",Simulador!$I$12="Envío físico"),Simulador!$C$23="PEN"),10,IF(AND(OR(Simulador!$I$12="Ambos",Simulador!$I$12="Envío físico"),Simulador!$C$23="USD"),4,0))</f>
        <v>0</v>
      </c>
      <c r="F24" s="7">
        <f>IF(Simulador!$C$12="Cuenta Rolando",FV((((1+Simulador!$C$21)^(1/360))-1),30,,-C24)-C24,(((1+Simulador!$C$21)^(1/360))-1)*C24*30)</f>
        <v>0.74999978200503392</v>
      </c>
      <c r="G24" s="7">
        <f t="shared" si="1"/>
        <v>16.608644347509681</v>
      </c>
      <c r="H24" s="11">
        <f t="shared" si="2"/>
        <v>0</v>
      </c>
      <c r="I24" s="5">
        <f t="shared" si="3"/>
        <v>0</v>
      </c>
      <c r="J24" s="3"/>
    </row>
    <row r="25" spans="1:11" x14ac:dyDescent="0.2">
      <c r="A25" s="1">
        <v>720</v>
      </c>
      <c r="B25" s="1" t="s">
        <v>64</v>
      </c>
      <c r="C25" s="7">
        <f t="shared" ref="C25:C38" si="4">+C24-D24-E24+F24</f>
        <v>216.60864434750968</v>
      </c>
      <c r="D25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25" s="5">
        <f>+IF(AND(OR(Simulador!$I$12="Ambos",Simulador!$I$12="Envío físico"),Simulador!$C$23="PEN"),10,IF(AND(OR(Simulador!$I$12="Ambos",Simulador!$I$12="Envío físico"),Simulador!$C$23="USD"),4,0))</f>
        <v>0</v>
      </c>
      <c r="F25" s="7">
        <f>IF(Simulador!$C$12="Cuenta Rolando",FV((((1+Simulador!$C$21)^(1/360))-1),30,,-C25)-C25,(((1+Simulador!$C$21)^(1/360))-1)*C25*30)</f>
        <v>0.75260565250022182</v>
      </c>
      <c r="G25" s="7">
        <f t="shared" ref="G25:G37" si="5">+G24+F25</f>
        <v>17.361250000009903</v>
      </c>
      <c r="H25" s="11">
        <f t="shared" ref="H25:H37" si="6">+H24+E25</f>
        <v>0</v>
      </c>
      <c r="I25" s="5">
        <f t="shared" ref="I25:I37" si="7">+I24+D25</f>
        <v>0</v>
      </c>
      <c r="J25" s="3"/>
      <c r="K25" s="1">
        <v>720</v>
      </c>
    </row>
    <row r="26" spans="1:11" x14ac:dyDescent="0.2">
      <c r="A26" s="5"/>
      <c r="B26" s="1" t="s">
        <v>65</v>
      </c>
      <c r="C26" s="7">
        <f t="shared" si="4"/>
        <v>217.3612500000099</v>
      </c>
      <c r="D26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26" s="5">
        <f>+IF(AND(OR(Simulador!$I$12="Ambos",Simulador!$I$12="Envío físico"),Simulador!$C$23="PEN"),10,IF(AND(OR(Simulador!$I$12="Ambos",Simulador!$I$12="Envío físico"),Simulador!$C$23="USD"),4,0))</f>
        <v>0</v>
      </c>
      <c r="F26" s="7">
        <f>IF(Simulador!$C$12="Cuenta Rolando",FV((((1+Simulador!$C$21)^(1/360))-1),30,,-C26)-C26,(((1+Simulador!$C$21)^(1/360))-1)*C26*30)</f>
        <v>0.75522057707942736</v>
      </c>
      <c r="G26" s="7">
        <f t="shared" si="5"/>
        <v>18.116470577089331</v>
      </c>
      <c r="H26" s="11">
        <f t="shared" si="6"/>
        <v>0</v>
      </c>
      <c r="I26" s="5">
        <f t="shared" si="7"/>
        <v>0</v>
      </c>
      <c r="J26" s="3"/>
    </row>
    <row r="27" spans="1:11" x14ac:dyDescent="0.2">
      <c r="A27" s="5"/>
      <c r="B27" s="1" t="s">
        <v>97</v>
      </c>
      <c r="C27" s="7">
        <f t="shared" si="4"/>
        <v>218.11647057708933</v>
      </c>
      <c r="D27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27" s="5">
        <f>+IF(AND(OR(Simulador!$I$12="Ambos",Simulador!$I$12="Envío físico"),Simulador!$C$23="PEN"),10,IF(AND(OR(Simulador!$I$12="Ambos",Simulador!$I$12="Envío físico"),Simulador!$C$23="USD"),4,0))</f>
        <v>0</v>
      </c>
      <c r="F27" s="7">
        <f>IF(Simulador!$C$12="Cuenta Rolando",FV((((1+Simulador!$C$21)^(1/360))-1),30,,-C27)-C27,(((1+Simulador!$C$21)^(1/360))-1)*C27*30)</f>
        <v>0.75784458720104908</v>
      </c>
      <c r="G27" s="7">
        <f t="shared" si="5"/>
        <v>18.87431516429038</v>
      </c>
      <c r="H27" s="11">
        <f t="shared" si="6"/>
        <v>0</v>
      </c>
      <c r="I27" s="5">
        <f t="shared" si="7"/>
        <v>0</v>
      </c>
      <c r="J27" s="3"/>
    </row>
    <row r="28" spans="1:11" x14ac:dyDescent="0.2">
      <c r="A28" s="5"/>
      <c r="B28" s="1" t="s">
        <v>98</v>
      </c>
      <c r="C28" s="7">
        <f t="shared" si="4"/>
        <v>218.87431516429038</v>
      </c>
      <c r="D28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28" s="5">
        <f>+IF(AND(OR(Simulador!$I$12="Ambos",Simulador!$I$12="Envío físico"),Simulador!$C$23="PEN"),10,IF(AND(OR(Simulador!$I$12="Ambos",Simulador!$I$12="Envío físico"),Simulador!$C$23="USD"),4,0))</f>
        <v>0</v>
      </c>
      <c r="F28" s="7">
        <f>IF(Simulador!$C$12="Cuenta Rolando",FV((((1+Simulador!$C$21)^(1/360))-1),30,,-C28)-C28,(((1+Simulador!$C$21)^(1/360))-1)*C28*30)</f>
        <v>0.76047771443271017</v>
      </c>
      <c r="G28" s="7">
        <f t="shared" si="5"/>
        <v>19.63479287872309</v>
      </c>
      <c r="H28" s="11">
        <f t="shared" si="6"/>
        <v>0</v>
      </c>
      <c r="I28" s="5">
        <f t="shared" si="7"/>
        <v>0</v>
      </c>
      <c r="J28" s="3"/>
    </row>
    <row r="29" spans="1:11" x14ac:dyDescent="0.2">
      <c r="A29" s="5"/>
      <c r="B29" s="1" t="s">
        <v>99</v>
      </c>
      <c r="C29" s="7">
        <f t="shared" si="4"/>
        <v>219.63479287872309</v>
      </c>
      <c r="D29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29" s="5">
        <f>+IF(AND(OR(Simulador!$I$12="Ambos",Simulador!$I$12="Envío físico"),Simulador!$C$23="PEN"),10,IF(AND(OR(Simulador!$I$12="Ambos",Simulador!$I$12="Envío físico"),Simulador!$C$23="USD"),4,0))</f>
        <v>0</v>
      </c>
      <c r="F29" s="7">
        <f>IF(Simulador!$C$12="Cuenta Rolando",FV((((1+Simulador!$C$21)^(1/360))-1),30,,-C29)-C29,(((1+Simulador!$C$21)^(1/360))-1)*C29*30)</f>
        <v>0.76311999045177004</v>
      </c>
      <c r="G29" s="7">
        <f t="shared" si="5"/>
        <v>20.39791286917486</v>
      </c>
      <c r="H29" s="11">
        <f t="shared" si="6"/>
        <v>0</v>
      </c>
      <c r="I29" s="5">
        <f t="shared" si="7"/>
        <v>0</v>
      </c>
      <c r="J29" s="3"/>
    </row>
    <row r="30" spans="1:11" x14ac:dyDescent="0.2">
      <c r="A30" s="5"/>
      <c r="B30" s="1" t="s">
        <v>100</v>
      </c>
      <c r="C30" s="7">
        <f t="shared" si="4"/>
        <v>220.39791286917486</v>
      </c>
      <c r="D30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30" s="5">
        <f>+IF(AND(OR(Simulador!$I$12="Ambos",Simulador!$I$12="Envío físico"),Simulador!$C$23="PEN"),10,IF(AND(OR(Simulador!$I$12="Ambos",Simulador!$I$12="Envío físico"),Simulador!$C$23="USD"),4,0))</f>
        <v>0</v>
      </c>
      <c r="F30" s="7">
        <f>IF(Simulador!$C$12="Cuenta Rolando",FV((((1+Simulador!$C$21)^(1/360))-1),30,,-C30)-C30,(((1+Simulador!$C$21)^(1/360))-1)*C30*30)</f>
        <v>0.76577144704566535</v>
      </c>
      <c r="G30" s="7">
        <f t="shared" si="5"/>
        <v>21.163684316220525</v>
      </c>
      <c r="H30" s="11">
        <f t="shared" si="6"/>
        <v>0</v>
      </c>
      <c r="I30" s="5">
        <f t="shared" si="7"/>
        <v>0</v>
      </c>
      <c r="J30" s="3"/>
    </row>
    <row r="31" spans="1:11" x14ac:dyDescent="0.2">
      <c r="A31" s="5"/>
      <c r="B31" s="1" t="s">
        <v>101</v>
      </c>
      <c r="C31" s="7">
        <f t="shared" si="4"/>
        <v>221.16368431622053</v>
      </c>
      <c r="D31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31" s="5">
        <f>+IF(AND(OR(Simulador!$I$12="Ambos",Simulador!$I$12="Envío físico"),Simulador!$C$23="PEN"),10,IF(AND(OR(Simulador!$I$12="Ambos",Simulador!$I$12="Envío físico"),Simulador!$C$23="USD"),4,0))</f>
        <v>0</v>
      </c>
      <c r="F31" s="7">
        <f>IF(Simulador!$C$12="Cuenta Rolando",FV((((1+Simulador!$C$21)^(1/360))-1),30,,-C31)-C31,(((1+Simulador!$C$21)^(1/360))-1)*C31*30)</f>
        <v>0.76843211611225115</v>
      </c>
      <c r="G31" s="7">
        <f t="shared" si="5"/>
        <v>21.932116432332776</v>
      </c>
      <c r="H31" s="11">
        <f t="shared" si="6"/>
        <v>0</v>
      </c>
      <c r="I31" s="5">
        <f t="shared" si="7"/>
        <v>0</v>
      </c>
      <c r="J31" s="3"/>
    </row>
    <row r="32" spans="1:11" x14ac:dyDescent="0.2">
      <c r="A32" s="5"/>
      <c r="B32" s="1" t="s">
        <v>102</v>
      </c>
      <c r="C32" s="7">
        <f t="shared" si="4"/>
        <v>221.93211643233278</v>
      </c>
      <c r="D32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32" s="5">
        <f>+IF(AND(OR(Simulador!$I$12="Ambos",Simulador!$I$12="Envío físico"),Simulador!$C$23="PEN"),10,IF(AND(OR(Simulador!$I$12="Ambos",Simulador!$I$12="Envío físico"),Simulador!$C$23="USD"),4,0))</f>
        <v>0</v>
      </c>
      <c r="F32" s="7">
        <f>IF(Simulador!$C$12="Cuenta Rolando",FV((((1+Simulador!$C$21)^(1/360))-1),30,,-C32)-C32,(((1+Simulador!$C$21)^(1/360))-1)*C32*30)</f>
        <v>0.7711020296601987</v>
      </c>
      <c r="G32" s="7">
        <f t="shared" si="5"/>
        <v>22.703218461992975</v>
      </c>
      <c r="H32" s="11">
        <f t="shared" si="6"/>
        <v>0</v>
      </c>
      <c r="I32" s="5">
        <f t="shared" si="7"/>
        <v>0</v>
      </c>
      <c r="J32" s="3"/>
    </row>
    <row r="33" spans="1:10" x14ac:dyDescent="0.2">
      <c r="A33" s="5"/>
      <c r="B33" s="1" t="s">
        <v>103</v>
      </c>
      <c r="C33" s="7">
        <f t="shared" si="4"/>
        <v>222.70321846199298</v>
      </c>
      <c r="D33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33" s="5">
        <f>+IF(AND(OR(Simulador!$I$12="Ambos",Simulador!$I$12="Envío físico"),Simulador!$C$23="PEN"),10,IF(AND(OR(Simulador!$I$12="Ambos",Simulador!$I$12="Envío físico"),Simulador!$C$23="USD"),4,0))</f>
        <v>0</v>
      </c>
      <c r="F33" s="7">
        <f>IF(Simulador!$C$12="Cuenta Rolando",FV((((1+Simulador!$C$21)^(1/360))-1),30,,-C33)-C33,(((1+Simulador!$C$21)^(1/360))-1)*C33*30)</f>
        <v>0.77378121980945025</v>
      </c>
      <c r="G33" s="7">
        <f t="shared" si="5"/>
        <v>23.476999681802425</v>
      </c>
      <c r="H33" s="11">
        <f t="shared" si="6"/>
        <v>0</v>
      </c>
      <c r="I33" s="5">
        <f t="shared" si="7"/>
        <v>0</v>
      </c>
      <c r="J33" s="3"/>
    </row>
    <row r="34" spans="1:10" x14ac:dyDescent="0.2">
      <c r="A34" s="5"/>
      <c r="B34" s="1" t="s">
        <v>104</v>
      </c>
      <c r="C34" s="7">
        <f t="shared" si="4"/>
        <v>223.47699968180243</v>
      </c>
      <c r="D34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34" s="5">
        <f>+IF(AND(OR(Simulador!$I$12="Ambos",Simulador!$I$12="Envío físico"),Simulador!$C$23="PEN"),10,IF(AND(OR(Simulador!$I$12="Ambos",Simulador!$I$12="Envío físico"),Simulador!$C$23="USD"),4,0))</f>
        <v>0</v>
      </c>
      <c r="F34" s="7">
        <f>IF(Simulador!$C$12="Cuenta Rolando",FV((((1+Simulador!$C$21)^(1/360))-1),30,,-C34)-C34,(((1+Simulador!$C$21)^(1/360))-1)*C34*30)</f>
        <v>0.77646971879147486</v>
      </c>
      <c r="G34" s="7">
        <f t="shared" si="5"/>
        <v>24.2534694005939</v>
      </c>
      <c r="H34" s="11">
        <f t="shared" si="6"/>
        <v>0</v>
      </c>
      <c r="I34" s="5">
        <f t="shared" si="7"/>
        <v>0</v>
      </c>
      <c r="J34" s="3"/>
    </row>
    <row r="35" spans="1:10" x14ac:dyDescent="0.2">
      <c r="A35" s="5"/>
      <c r="B35" s="1" t="s">
        <v>105</v>
      </c>
      <c r="C35" s="7">
        <f t="shared" si="4"/>
        <v>224.2534694005939</v>
      </c>
      <c r="D35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35" s="5">
        <f>+IF(AND(OR(Simulador!$I$12="Ambos",Simulador!$I$12="Envío físico"),Simulador!$C$23="PEN"),10,IF(AND(OR(Simulador!$I$12="Ambos",Simulador!$I$12="Envío físico"),Simulador!$C$23="USD"),4,0))</f>
        <v>0</v>
      </c>
      <c r="F35" s="7">
        <f>IF(Simulador!$C$12="Cuenta Rolando",FV((((1+Simulador!$C$21)^(1/360))-1),30,,-C35)-C35,(((1+Simulador!$C$21)^(1/360))-1)*C35*30)</f>
        <v>0.77916755894977996</v>
      </c>
      <c r="G35" s="7">
        <f t="shared" si="5"/>
        <v>25.03263695954368</v>
      </c>
      <c r="H35" s="11">
        <f t="shared" si="6"/>
        <v>0</v>
      </c>
      <c r="I35" s="5">
        <f t="shared" si="7"/>
        <v>0</v>
      </c>
      <c r="J35" s="3"/>
    </row>
    <row r="36" spans="1:10" x14ac:dyDescent="0.2">
      <c r="A36" s="5"/>
      <c r="B36" s="1" t="s">
        <v>106</v>
      </c>
      <c r="C36" s="7">
        <f t="shared" si="4"/>
        <v>225.03263695954368</v>
      </c>
      <c r="D36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36" s="5">
        <f>+IF(AND(OR(Simulador!$I$12="Ambos",Simulador!$I$12="Envío físico"),Simulador!$C$23="PEN"),10,IF(AND(OR(Simulador!$I$12="Ambos",Simulador!$I$12="Envío físico"),Simulador!$C$23="USD"),4,0))</f>
        <v>0</v>
      </c>
      <c r="F36" s="7">
        <f>IF(Simulador!$C$12="Cuenta Rolando",FV((((1+Simulador!$C$21)^(1/360))-1),30,,-C36)-C36,(((1+Simulador!$C$21)^(1/360))-1)*C36*30)</f>
        <v>0.78187477274025241</v>
      </c>
      <c r="G36" s="7">
        <f t="shared" si="5"/>
        <v>25.814511732283933</v>
      </c>
      <c r="H36" s="11">
        <f t="shared" si="6"/>
        <v>0</v>
      </c>
      <c r="I36" s="5">
        <f t="shared" si="7"/>
        <v>0</v>
      </c>
      <c r="J36" s="3"/>
    </row>
    <row r="37" spans="1:10" x14ac:dyDescent="0.2">
      <c r="A37" s="5">
        <v>1080</v>
      </c>
      <c r="B37" s="1" t="s">
        <v>107</v>
      </c>
      <c r="C37" s="7">
        <f t="shared" si="4"/>
        <v>225.81451173228393</v>
      </c>
      <c r="D37" s="5">
        <f>+IF(AND(OR(Simulador!$C$12="Cuenta Ahorros",Simulador!$C$12="Tasa Promocional"),Simulador!$D$20=1,Simulador!$C$23="PEN"),Tablas!$U$4,IF(AND(OR(Simulador!$C$12="Cuenta Ahorros",Simulador!$C$12="Tasa Promocional"),Simulador!$D$20=1,Simulador!$C$23="USD"),Tablas!$V$4,IF(AND(Simulador!$C$12="Cuenta Rolando",Simulador!$D$20=1,Simulador!$C$23="PEN"),Tablas!$AG$4,IF(AND(Simulador!$C$12="Cuenta Rolando",Simulador!$D$20=1,Simulador!$C$23="USD"),Tablas!$AH$4,0))))</f>
        <v>0</v>
      </c>
      <c r="E37" s="5">
        <f>+IF(AND(OR(Simulador!$I$12="Ambos",Simulador!$I$12="Envío físico"),Simulador!$C$23="PEN"),10,IF(AND(OR(Simulador!$I$12="Ambos",Simulador!$I$12="Envío físico"),Simulador!$C$23="USD"),4,0))</f>
        <v>0</v>
      </c>
      <c r="F37" s="7">
        <f>IF(Simulador!$C$12="Cuenta Rolando",FV((((1+Simulador!$C$21)^(1/360))-1),30,,-C37)-C37,(((1+Simulador!$C$21)^(1/360))-1)*C37*30)</f>
        <v>0.78459139273149958</v>
      </c>
      <c r="G37" s="7">
        <f t="shared" si="5"/>
        <v>26.599103125015432</v>
      </c>
      <c r="H37" s="11">
        <f t="shared" si="6"/>
        <v>0</v>
      </c>
      <c r="I37" s="5">
        <f t="shared" si="7"/>
        <v>0</v>
      </c>
      <c r="J37" s="3"/>
    </row>
    <row r="38" spans="1:10" x14ac:dyDescent="0.2">
      <c r="A38" s="5"/>
      <c r="B38" s="1" t="s">
        <v>108</v>
      </c>
      <c r="C38" s="7">
        <f t="shared" si="4"/>
        <v>226.59910312501543</v>
      </c>
      <c r="D38" s="5"/>
      <c r="E38" s="5"/>
      <c r="F38" s="7"/>
      <c r="G38" s="7"/>
      <c r="H38" s="11"/>
      <c r="I38" s="5"/>
      <c r="J38" s="3"/>
    </row>
  </sheetData>
  <sheetProtection password="E389" sheet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10</vt:i4>
      </vt:variant>
    </vt:vector>
  </HeadingPairs>
  <TitlesOfParts>
    <vt:vector size="13" baseType="lpstr">
      <vt:lpstr>Simulador</vt:lpstr>
      <vt:lpstr>Tablas</vt:lpstr>
      <vt:lpstr>Calculo</vt:lpstr>
      <vt:lpstr>Simulador!Área_de_impresión</vt:lpstr>
      <vt:lpstr>CTS</vt:lpstr>
      <vt:lpstr>DIAS</vt:lpstr>
      <vt:lpstr>ENVIO</vt:lpstr>
      <vt:lpstr>MOD</vt:lpstr>
      <vt:lpstr>MONEDA</vt:lpstr>
      <vt:lpstr>MONTO_MIN</vt:lpstr>
      <vt:lpstr>NOAP</vt:lpstr>
      <vt:lpstr>PEN</vt:lpstr>
      <vt:lpstr>PROD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Delgado Vasallo</dc:creator>
  <cp:lastModifiedBy>Yojany Marin Rosales</cp:lastModifiedBy>
  <cp:lastPrinted>2021-05-06T17:23:32Z</cp:lastPrinted>
  <dcterms:created xsi:type="dcterms:W3CDTF">2012-12-07T17:53:35Z</dcterms:created>
  <dcterms:modified xsi:type="dcterms:W3CDTF">2022-04-11T17:16:45Z</dcterms:modified>
</cp:coreProperties>
</file>